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35" windowWidth="9420" windowHeight="4500" firstSheet="4" activeTab="7"/>
  </bookViews>
  <sheets>
    <sheet name="Inversión" sheetId="1" r:id="rId1"/>
    <sheet name="Punto equilibrio" sheetId="2" r:id="rId2"/>
    <sheet name="Proyección ventas" sheetId="3" r:id="rId3"/>
    <sheet name="Pago de la deuda" sheetId="4" r:id="rId4"/>
    <sheet name="Presupuestos" sheetId="5" r:id="rId5"/>
    <sheet name="Evaluación" sheetId="7" r:id="rId6"/>
    <sheet name="Balance" sheetId="9" r:id="rId7"/>
    <sheet name="Proyeccion egresos personal" sheetId="8" r:id="rId8"/>
  </sheets>
  <calcPr calcId="125725"/>
</workbook>
</file>

<file path=xl/calcChain.xml><?xml version="1.0" encoding="utf-8"?>
<calcChain xmlns="http://schemas.openxmlformats.org/spreadsheetml/2006/main">
  <c r="D7" i="5"/>
  <c r="D34"/>
  <c r="D35"/>
  <c r="D36"/>
  <c r="D37"/>
  <c r="D38"/>
  <c r="D39"/>
  <c r="D40"/>
  <c r="E68" s="1"/>
  <c r="D45"/>
  <c r="D46"/>
  <c r="D48" s="1"/>
  <c r="D47"/>
  <c r="C53"/>
  <c r="D53" s="1"/>
  <c r="C54"/>
  <c r="D54" s="1"/>
  <c r="E54" s="1"/>
  <c r="F54" s="1"/>
  <c r="G54" s="1"/>
  <c r="D91"/>
  <c r="E7"/>
  <c r="E34"/>
  <c r="E35"/>
  <c r="E36"/>
  <c r="E37"/>
  <c r="E38"/>
  <c r="E39"/>
  <c r="E40"/>
  <c r="F68" s="1"/>
  <c r="E45"/>
  <c r="E46"/>
  <c r="E48" s="1"/>
  <c r="E47"/>
  <c r="F7"/>
  <c r="F34"/>
  <c r="F35"/>
  <c r="F36"/>
  <c r="F40" s="1"/>
  <c r="F37"/>
  <c r="F38"/>
  <c r="F39"/>
  <c r="F45"/>
  <c r="F46"/>
  <c r="G46" s="1"/>
  <c r="G48" s="1"/>
  <c r="F47"/>
  <c r="F48"/>
  <c r="G69" s="1"/>
  <c r="G7"/>
  <c r="G34"/>
  <c r="G35"/>
  <c r="G40" s="1"/>
  <c r="G36"/>
  <c r="G37"/>
  <c r="G38"/>
  <c r="G39"/>
  <c r="G45"/>
  <c r="G47"/>
  <c r="C40"/>
  <c r="D68"/>
  <c r="C48"/>
  <c r="D69" s="1"/>
  <c r="C55"/>
  <c r="D70" s="1"/>
  <c r="D76" s="1"/>
  <c r="C91"/>
  <c r="C92"/>
  <c r="G11" i="9"/>
  <c r="F15" i="8"/>
  <c r="F16"/>
  <c r="F17"/>
  <c r="F18"/>
  <c r="F14"/>
  <c r="E19"/>
  <c r="F19"/>
  <c r="G14"/>
  <c r="G15"/>
  <c r="G16"/>
  <c r="G17"/>
  <c r="G18"/>
  <c r="G19"/>
  <c r="D10"/>
  <c r="F20" i="3"/>
  <c r="C6" i="5" s="1"/>
  <c r="F9" i="8"/>
  <c r="F8"/>
  <c r="F7"/>
  <c r="F6"/>
  <c r="F5"/>
  <c r="E9" i="1"/>
  <c r="D12" i="9" s="1"/>
  <c r="E34" i="1"/>
  <c r="E18"/>
  <c r="D13" i="9" s="1"/>
  <c r="D31" s="1"/>
  <c r="E35" i="1"/>
  <c r="D24" i="8"/>
  <c r="E24"/>
  <c r="F24"/>
  <c r="D25"/>
  <c r="E25"/>
  <c r="F25"/>
  <c r="D26"/>
  <c r="E26"/>
  <c r="F26"/>
  <c r="D27"/>
  <c r="E27"/>
  <c r="F27"/>
  <c r="F10"/>
  <c r="D23"/>
  <c r="D28" s="1"/>
  <c r="E23"/>
  <c r="E28" s="1"/>
  <c r="F23"/>
  <c r="F28" s="1"/>
  <c r="E10"/>
  <c r="E37" i="2"/>
  <c r="E39" s="1"/>
  <c r="E38"/>
  <c r="G9"/>
  <c r="G16"/>
  <c r="G17"/>
  <c r="G18"/>
  <c r="G19"/>
  <c r="G21"/>
  <c r="C15" i="5" s="1"/>
  <c r="D15" s="1"/>
  <c r="E15" s="1"/>
  <c r="F15" s="1"/>
  <c r="G15" s="1"/>
  <c r="G28" i="2"/>
  <c r="G29"/>
  <c r="C22" i="5" s="1"/>
  <c r="D22" s="1"/>
  <c r="E22" s="1"/>
  <c r="F22" s="1"/>
  <c r="G22" s="1"/>
  <c r="F8" i="4"/>
  <c r="C96" i="5" s="1"/>
  <c r="E8" i="4"/>
  <c r="D81" i="5" s="1"/>
  <c r="E9" i="4"/>
  <c r="E81" i="5" s="1"/>
  <c r="D8" i="4"/>
  <c r="F9"/>
  <c r="D96" i="5" s="1"/>
  <c r="G8" i="4"/>
  <c r="H9" i="3"/>
  <c r="H10"/>
  <c r="H11"/>
  <c r="H12"/>
  <c r="H13"/>
  <c r="H14"/>
  <c r="H15"/>
  <c r="H16"/>
  <c r="H17"/>
  <c r="H18"/>
  <c r="H19"/>
  <c r="H8"/>
  <c r="H20"/>
  <c r="E32" i="2"/>
  <c r="E33"/>
  <c r="E34"/>
  <c r="E10" i="4"/>
  <c r="F81" i="5" s="1"/>
  <c r="G9" i="4"/>
  <c r="D9"/>
  <c r="F10"/>
  <c r="E96" i="5" s="1"/>
  <c r="D10" i="4"/>
  <c r="E11"/>
  <c r="G81" i="5" s="1"/>
  <c r="G10" i="4"/>
  <c r="E12"/>
  <c r="H81" i="5" s="1"/>
  <c r="E13" i="4"/>
  <c r="F11"/>
  <c r="F96" i="5" s="1"/>
  <c r="D11" i="4"/>
  <c r="F12"/>
  <c r="G96" i="5" s="1"/>
  <c r="D12" i="4"/>
  <c r="G11"/>
  <c r="G12"/>
  <c r="G13"/>
  <c r="F13"/>
  <c r="G91" i="5" l="1"/>
  <c r="H68"/>
  <c r="H69"/>
  <c r="G92"/>
  <c r="E69"/>
  <c r="D92"/>
  <c r="F91"/>
  <c r="G68"/>
  <c r="F69"/>
  <c r="E92"/>
  <c r="E53"/>
  <c r="D55"/>
  <c r="E91"/>
  <c r="C93"/>
  <c r="F92"/>
  <c r="D29" i="9"/>
  <c r="D14"/>
  <c r="D6" i="5"/>
  <c r="C8"/>
  <c r="C14"/>
  <c r="C16" s="1"/>
  <c r="C21"/>
  <c r="C23" s="1"/>
  <c r="E23" i="1"/>
  <c r="E22"/>
  <c r="E30" s="1"/>
  <c r="D82" i="5"/>
  <c r="H82"/>
  <c r="G82"/>
  <c r="F82"/>
  <c r="E82"/>
  <c r="E55" l="1"/>
  <c r="F53"/>
  <c r="E70"/>
  <c r="E76" s="1"/>
  <c r="D93"/>
  <c r="D7" i="9"/>
  <c r="E36" i="1"/>
  <c r="E37" s="1"/>
  <c r="D67" i="5"/>
  <c r="C29"/>
  <c r="D66"/>
  <c r="C28"/>
  <c r="D60"/>
  <c r="D62" s="1"/>
  <c r="C87"/>
  <c r="D8"/>
  <c r="D14"/>
  <c r="D16" s="1"/>
  <c r="D21"/>
  <c r="D23" s="1"/>
  <c r="E6"/>
  <c r="D30" i="9"/>
  <c r="D32"/>
  <c r="F70" i="5" l="1"/>
  <c r="F76" s="1"/>
  <c r="E93"/>
  <c r="C30"/>
  <c r="C88" s="1"/>
  <c r="C89" s="1"/>
  <c r="C94" s="1"/>
  <c r="C97" s="1"/>
  <c r="F55"/>
  <c r="G53"/>
  <c r="G55" s="1"/>
  <c r="E8"/>
  <c r="E14"/>
  <c r="E16" s="1"/>
  <c r="E21"/>
  <c r="E23" s="1"/>
  <c r="F6"/>
  <c r="E67"/>
  <c r="D29"/>
  <c r="E66"/>
  <c r="D28"/>
  <c r="D30" s="1"/>
  <c r="D88" s="1"/>
  <c r="E60"/>
  <c r="E62" s="1"/>
  <c r="D87"/>
  <c r="D89" s="1"/>
  <c r="D94" s="1"/>
  <c r="D97" s="1"/>
  <c r="C61"/>
  <c r="G14" i="9"/>
  <c r="D8"/>
  <c r="D17" s="1"/>
  <c r="C99" i="5" l="1"/>
  <c r="D71" s="1"/>
  <c r="D73" s="1"/>
  <c r="D75" s="1"/>
  <c r="D79" s="1"/>
  <c r="D83" s="1"/>
  <c r="G70"/>
  <c r="G76" s="1"/>
  <c r="F93"/>
  <c r="H70"/>
  <c r="H76" s="1"/>
  <c r="G93"/>
  <c r="G31" i="9"/>
  <c r="G15"/>
  <c r="G17" s="1"/>
  <c r="C62" i="5"/>
  <c r="C65"/>
  <c r="D99"/>
  <c r="E71" s="1"/>
  <c r="F8"/>
  <c r="F14"/>
  <c r="F16" s="1"/>
  <c r="F21"/>
  <c r="F23" s="1"/>
  <c r="G6"/>
  <c r="F67"/>
  <c r="E29"/>
  <c r="F66"/>
  <c r="E28"/>
  <c r="E30" s="1"/>
  <c r="E88" s="1"/>
  <c r="F60"/>
  <c r="F62" s="1"/>
  <c r="E87"/>
  <c r="E73"/>
  <c r="E75" s="1"/>
  <c r="E79" s="1"/>
  <c r="E89" l="1"/>
  <c r="E94" s="1"/>
  <c r="E97" s="1"/>
  <c r="D7" i="7"/>
  <c r="C100" i="5"/>
  <c r="C20" i="7" s="1"/>
  <c r="D100" i="5"/>
  <c r="D20" i="7" s="1"/>
  <c r="E7"/>
  <c r="E83" i="5"/>
  <c r="E27" i="7" s="1"/>
  <c r="E99" i="5"/>
  <c r="F71" s="1"/>
  <c r="G8"/>
  <c r="G14"/>
  <c r="G16" s="1"/>
  <c r="G21"/>
  <c r="G23" s="1"/>
  <c r="G67"/>
  <c r="F29"/>
  <c r="G66"/>
  <c r="F28"/>
  <c r="F30" s="1"/>
  <c r="F88" s="1"/>
  <c r="G60"/>
  <c r="G62" s="1"/>
  <c r="F87"/>
  <c r="C73"/>
  <c r="C75" s="1"/>
  <c r="C79" s="1"/>
  <c r="C77"/>
  <c r="D27" i="7"/>
  <c r="F73" i="5"/>
  <c r="F75" s="1"/>
  <c r="F79" s="1"/>
  <c r="F89" l="1"/>
  <c r="F94" s="1"/>
  <c r="F97" s="1"/>
  <c r="E100"/>
  <c r="E20" i="7" s="1"/>
  <c r="F7"/>
  <c r="F83" i="5"/>
  <c r="C7" i="7"/>
  <c r="C83" i="5"/>
  <c r="C27" i="7" s="1"/>
  <c r="F99" i="5"/>
  <c r="G71" s="1"/>
  <c r="F100"/>
  <c r="H67"/>
  <c r="G29"/>
  <c r="H66"/>
  <c r="G28"/>
  <c r="G30" s="1"/>
  <c r="G88" s="1"/>
  <c r="H60"/>
  <c r="H62" s="1"/>
  <c r="G87"/>
  <c r="G89" s="1"/>
  <c r="G94" s="1"/>
  <c r="G97" s="1"/>
  <c r="G73"/>
  <c r="G75" s="1"/>
  <c r="G79" s="1"/>
  <c r="G7" i="7" l="1"/>
  <c r="G83" i="5"/>
  <c r="G27" i="7" s="1"/>
  <c r="G99" i="5"/>
  <c r="H71" s="1"/>
  <c r="H73" s="1"/>
  <c r="H75" s="1"/>
  <c r="H79" s="1"/>
  <c r="F20" i="7"/>
  <c r="C29"/>
  <c r="C9"/>
  <c r="F27"/>
  <c r="G100" i="5" l="1"/>
  <c r="H7" i="7"/>
  <c r="H83" i="5"/>
  <c r="G20" i="7" l="1"/>
  <c r="G32" i="9"/>
  <c r="G33" s="1"/>
  <c r="G35" s="1"/>
  <c r="H27" i="7"/>
  <c r="D24" i="9"/>
  <c r="D25" s="1"/>
  <c r="D35" s="1"/>
  <c r="C13" i="7"/>
  <c r="C11"/>
  <c r="C12" s="1"/>
  <c r="C31" l="1"/>
  <c r="C32" s="1"/>
  <c r="C33"/>
</calcChain>
</file>

<file path=xl/sharedStrings.xml><?xml version="1.0" encoding="utf-8"?>
<sst xmlns="http://schemas.openxmlformats.org/spreadsheetml/2006/main" count="332" uniqueCount="192">
  <si>
    <t>Escritorio</t>
  </si>
  <si>
    <t>Capital de trabajo</t>
  </si>
  <si>
    <t>Materia prima</t>
  </si>
  <si>
    <t>Promoción y publicidad (folletos y catálogos)</t>
  </si>
  <si>
    <t>Diseño y alojamiento página web</t>
  </si>
  <si>
    <t>Transporte</t>
  </si>
  <si>
    <t>S/.</t>
  </si>
  <si>
    <t>TOTAL</t>
  </si>
  <si>
    <t>Inversión total requerida</t>
  </si>
  <si>
    <t>Activo fijo</t>
  </si>
  <si>
    <t>Inversión Activo Fijo</t>
  </si>
  <si>
    <t>Inversión Activo intangible</t>
  </si>
  <si>
    <t>Capital de Trabajo</t>
  </si>
  <si>
    <t>Activo intangible</t>
  </si>
  <si>
    <t>Sillas</t>
  </si>
  <si>
    <t>Estantes</t>
  </si>
  <si>
    <t>Moldes y muestras de jeans</t>
  </si>
  <si>
    <t>Búsqueda y registro de marca</t>
  </si>
  <si>
    <t>Constitución legal de la empresa</t>
  </si>
  <si>
    <t>Cantidad</t>
  </si>
  <si>
    <t>Costo unitario</t>
  </si>
  <si>
    <t xml:space="preserve">Tela </t>
  </si>
  <si>
    <t>1.15 m.</t>
  </si>
  <si>
    <t>Tocuyo</t>
  </si>
  <si>
    <t>0.18 m.</t>
  </si>
  <si>
    <t>Corte</t>
  </si>
  <si>
    <t>Confección</t>
  </si>
  <si>
    <t>Lavado</t>
  </si>
  <si>
    <t>Botón</t>
  </si>
  <si>
    <t xml:space="preserve">Remaches </t>
  </si>
  <si>
    <t xml:space="preserve">Cierres </t>
  </si>
  <si>
    <t xml:space="preserve">Etiquetas de cuero </t>
  </si>
  <si>
    <t>Etiquetas interiores</t>
  </si>
  <si>
    <t>Etiquetas externas</t>
  </si>
  <si>
    <t>Hang Tag</t>
  </si>
  <si>
    <t>Tallero</t>
  </si>
  <si>
    <t xml:space="preserve">Bordado </t>
  </si>
  <si>
    <t xml:space="preserve">Greviches </t>
  </si>
  <si>
    <t xml:space="preserve">Tachas </t>
  </si>
  <si>
    <t>Ojalillos</t>
  </si>
  <si>
    <t xml:space="preserve">Cordón para hang tag </t>
  </si>
  <si>
    <t>0.25 m.</t>
  </si>
  <si>
    <t xml:space="preserve">Bolsa </t>
  </si>
  <si>
    <t>Costo de cada prenda de jean</t>
  </si>
  <si>
    <t>Insumos</t>
  </si>
  <si>
    <t>Servicios de terciarización</t>
  </si>
  <si>
    <t>Servicio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</si>
  <si>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</si>
  <si>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</si>
  <si>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</si>
  <si>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</si>
  <si>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</si>
  <si>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</si>
  <si>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</si>
  <si>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</si>
  <si>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</si>
  <si>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</si>
  <si>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</si>
  <si>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</si>
  <si>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Unidades</t>
  </si>
  <si>
    <t>setiembre</t>
  </si>
  <si>
    <t xml:space="preserve">Precio </t>
  </si>
  <si>
    <t xml:space="preserve">TOTAL </t>
  </si>
  <si>
    <t>Servicios básicos (agua, electricidad, teléfono, Internet)</t>
  </si>
  <si>
    <t>Licencia de funcionamiento</t>
  </si>
  <si>
    <t>n</t>
  </si>
  <si>
    <t>Capital</t>
  </si>
  <si>
    <t>Amortización</t>
  </si>
  <si>
    <t>Intereses</t>
  </si>
  <si>
    <t>Cuota</t>
  </si>
  <si>
    <t>TEA</t>
  </si>
  <si>
    <t>Presupuesto de Ventas</t>
  </si>
  <si>
    <t>Año 1</t>
  </si>
  <si>
    <t>Año 2</t>
  </si>
  <si>
    <t>Año 3</t>
  </si>
  <si>
    <t>Año 4</t>
  </si>
  <si>
    <t>Año 5</t>
  </si>
  <si>
    <t>Presupuesto de Gastos Administrativos</t>
  </si>
  <si>
    <t>Sueldos</t>
  </si>
  <si>
    <t>Beneficios sociales</t>
  </si>
  <si>
    <t>Alquiler local</t>
  </si>
  <si>
    <t>Precio de venta</t>
  </si>
  <si>
    <t>Servicios básicos</t>
  </si>
  <si>
    <t>Útiles de oficina</t>
  </si>
  <si>
    <t xml:space="preserve">S/. </t>
  </si>
  <si>
    <t>Depreciación</t>
  </si>
  <si>
    <t>Presupuesto de Gastos de Ventas</t>
  </si>
  <si>
    <t>Promoción y publicidad</t>
  </si>
  <si>
    <t>Presupuesto de Costo de Producción</t>
  </si>
  <si>
    <t>Implementación del local (instalaciones, pintura, decoración)</t>
  </si>
  <si>
    <t>Servicio de tercerización</t>
  </si>
  <si>
    <t>Muebles</t>
  </si>
  <si>
    <t>Cómputo</t>
  </si>
  <si>
    <t>Año 0</t>
  </si>
  <si>
    <t>Ventas</t>
  </si>
  <si>
    <t>TOTAL INGRESOS</t>
  </si>
  <si>
    <t>Materia Prima</t>
  </si>
  <si>
    <t>Gastos de Ventas</t>
  </si>
  <si>
    <t>Gastos Administrativos</t>
  </si>
  <si>
    <t>TOTAL EGRESOS</t>
  </si>
  <si>
    <t>Aportes</t>
  </si>
  <si>
    <t>Inversión</t>
  </si>
  <si>
    <t>Estado de Ganancias y Pérdidas proyectado</t>
  </si>
  <si>
    <t>Costo de producción</t>
  </si>
  <si>
    <t>UTILIDAD BRUTA</t>
  </si>
  <si>
    <t>Gastos de administración</t>
  </si>
  <si>
    <t>Gastos de ventas</t>
  </si>
  <si>
    <t>UTILIDAD OPERATIVA</t>
  </si>
  <si>
    <t>UTILIDAD ANTES DE IMP.</t>
  </si>
  <si>
    <t>Impuesto a la renta (30%)</t>
  </si>
  <si>
    <t>UTILIDAD NETA</t>
  </si>
  <si>
    <t>BNA</t>
  </si>
  <si>
    <t xml:space="preserve">INGRESOS </t>
  </si>
  <si>
    <t>EGRESOS</t>
  </si>
  <si>
    <t>Flujo de caja económico</t>
  </si>
  <si>
    <t>(+) Depreciación</t>
  </si>
  <si>
    <t>Flujo de caja financiero</t>
  </si>
  <si>
    <t>Flujo de caja proyectado</t>
  </si>
  <si>
    <t>(-) Inversión</t>
  </si>
  <si>
    <t>(+) Préstamo</t>
  </si>
  <si>
    <t>Evaluación económica</t>
  </si>
  <si>
    <t>TD</t>
  </si>
  <si>
    <t>VANe</t>
  </si>
  <si>
    <t>TIRe</t>
  </si>
  <si>
    <t>Periodo de recuperación</t>
  </si>
  <si>
    <t>Evlacion financiera</t>
  </si>
  <si>
    <t>VANf</t>
  </si>
  <si>
    <t>TIRf</t>
  </si>
  <si>
    <t>Costo de insumos para una prenda de jean</t>
  </si>
  <si>
    <t>Costos fijos anuales</t>
  </si>
  <si>
    <t>Gastos administrativos</t>
  </si>
  <si>
    <t>Costo de servicios de tercerización en una prenda de jean</t>
  </si>
  <si>
    <t>Secretaria</t>
  </si>
  <si>
    <t>Almacenero</t>
  </si>
  <si>
    <t>Diseñadora</t>
  </si>
  <si>
    <t>Vendedor</t>
  </si>
  <si>
    <t>Cargo</t>
  </si>
  <si>
    <t>Sueldo mensual</t>
  </si>
  <si>
    <t>Sueldo anual</t>
  </si>
  <si>
    <t>Cargos</t>
  </si>
  <si>
    <t xml:space="preserve">Sueldo anual </t>
  </si>
  <si>
    <t>Administrador</t>
  </si>
  <si>
    <t>C.T.S</t>
  </si>
  <si>
    <t>Gratificación</t>
  </si>
  <si>
    <t>Presupuesto pago anual de beneficios sociales</t>
  </si>
  <si>
    <t>Presupuesto pago anual de sueldos</t>
  </si>
  <si>
    <t xml:space="preserve">Unidades </t>
  </si>
  <si>
    <t>Precio de compra</t>
  </si>
  <si>
    <t>Presupuesto de Compra de Materia Prima</t>
  </si>
  <si>
    <t>Presupuesto de Pago de Servicios de Tercerización</t>
  </si>
  <si>
    <t>Presupuesto egreso anual de personal</t>
  </si>
  <si>
    <t xml:space="preserve">Materia prima necesaria para la primera. producción mensual </t>
  </si>
  <si>
    <t>Servicios de tercerización necesarios para la primera producción mensual</t>
  </si>
  <si>
    <t>* se pronostica un aumento anual del 6% en los gastos administrativos, tomando como referencia la tasa de crecimiento promedio anual del Índice de Precios al Consumidor (IPC)</t>
  </si>
  <si>
    <t>* se pronostica un aumento anual del 6% en los gastos de ventas tomando como referencia la tasa de crecimiento promedio anual del Índice de Precios al Consumidor (IPC)</t>
  </si>
  <si>
    <t>* se pronostica un aumento del 6% anual tanto en el precio de venta, tomando como referencia la tasa de crecimiento promedio anual del Índice de Precios al Consumidor (IPC).</t>
  </si>
  <si>
    <t>3 años</t>
  </si>
  <si>
    <t>Alquiler del local</t>
  </si>
  <si>
    <t>Sueldos y salarios</t>
  </si>
  <si>
    <t>* se pronostica un crecimiento anual del 15% de las ventas, como consecuencia de la búsqueda de nuevos negocios intermediarios y la incursión en nuevos mercados o zonas comerciales</t>
  </si>
  <si>
    <t>Computadora e impresora</t>
  </si>
  <si>
    <t>Rentabilidad en función a las ventas</t>
  </si>
  <si>
    <t>Rentabilidad sobre ventas</t>
  </si>
  <si>
    <t>A continuación se presentan las rentabilidades en función a las ventas, teniendo en cuenta el Estado de ganancias y pérdidas proyectado</t>
  </si>
  <si>
    <t>ACTIVO</t>
  </si>
  <si>
    <t>PASIVO</t>
  </si>
  <si>
    <t>Activo corriente</t>
  </si>
  <si>
    <t>Pasivo corriente</t>
  </si>
  <si>
    <t>Caja y banco</t>
  </si>
  <si>
    <t>TOTAL PASIVO CORR.</t>
  </si>
  <si>
    <t>TOTAL ACTIVO CORR.</t>
  </si>
  <si>
    <t>Pasivo no corriente</t>
  </si>
  <si>
    <t>Deuda largo plazo</t>
  </si>
  <si>
    <t>Activo no corriente</t>
  </si>
  <si>
    <t>Inm., maq.y equipo</t>
  </si>
  <si>
    <t>Intangibles</t>
  </si>
  <si>
    <t>Patrimonio</t>
  </si>
  <si>
    <t>TOTAL ACT. NO CORR.</t>
  </si>
  <si>
    <t>TOTAL PATRIMONIO</t>
  </si>
  <si>
    <t>TOTAL ACTIVO</t>
  </si>
  <si>
    <t>TOTAL PAS. Y PATR.</t>
  </si>
  <si>
    <t>(-) Depreciación</t>
  </si>
  <si>
    <t>Resultado acumulados</t>
  </si>
  <si>
    <t>Balance General Inicial</t>
  </si>
  <si>
    <t>Balance General proyectado (a 5 años)</t>
  </si>
  <si>
    <t>FLUJO CAJA ECONÓMICO</t>
  </si>
  <si>
    <t>SALDO FLUJO DE CAJA.</t>
  </si>
  <si>
    <t>(-) Interés</t>
  </si>
  <si>
    <t>(-) Amorización</t>
  </si>
  <si>
    <t>FLUJO CAJA FINANCIERO</t>
  </si>
  <si>
    <t>* el costo en materia prima para una prenda de jean es de US$15.45, del cual se pronostica un aumento anual del 6% tomando como referencia la tasa de crecimiento promedio anual del Índice de Precios al Consumidor (IPC)</t>
  </si>
  <si>
    <t>* el costo en servicios de tercerización para una prenda de jean es de US$11.30, del cual se pronostica un aumento anual del 6% tomando como referencia la tasa de crecimiento promedio anual del Índice de Precios al Consumidor (IPC)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</si>
</sst>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9"/>
      <name val="Arial"/>
    </font>
    <font>
      <u/>
      <sz val="10"/>
      <name val="Arial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0" fillId="0" borderId="0" xfId="0" quotePrefix="1" applyAlignment="1">
      <alignment horizontal="left"/>
    </xf>
    <xf numFmtId="0" fontId="2" fillId="0" borderId="1" xfId="0" quotePrefix="1" applyFont="1" applyBorder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left"/>
    </xf>
    <xf numFmtId="0" fontId="0" fillId="0" borderId="1" xfId="0" quotePrefix="1" applyBorder="1" applyAlignment="1">
      <alignment horizontal="left" vertical="justify"/>
    </xf>
    <xf numFmtId="0" fontId="3" fillId="0" borderId="1" xfId="0" applyFont="1" applyBorder="1"/>
    <xf numFmtId="0" fontId="3" fillId="0" borderId="1" xfId="0" quotePrefix="1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0" fillId="0" borderId="0" xfId="0" applyBorder="1"/>
    <xf numFmtId="2" fontId="0" fillId="0" borderId="1" xfId="0" applyNumberFormat="1" applyBorder="1"/>
    <xf numFmtId="2" fontId="0" fillId="0" borderId="0" xfId="0" applyNumberFormat="1"/>
    <xf numFmtId="0" fontId="3" fillId="0" borderId="1" xfId="0" quotePrefix="1" applyFont="1" applyBorder="1" applyAlignment="1">
      <alignment horizontal="left" vertical="justify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9" fontId="0" fillId="0" borderId="0" xfId="0" applyNumberFormat="1"/>
    <xf numFmtId="1" fontId="0" fillId="0" borderId="0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6" xfId="0" applyNumberFormat="1" applyBorder="1"/>
    <xf numFmtId="2" fontId="0" fillId="0" borderId="7" xfId="0" applyNumberFormat="1" applyBorder="1"/>
    <xf numFmtId="0" fontId="0" fillId="0" borderId="0" xfId="0" quotePrefix="1" applyFill="1" applyBorder="1" applyAlignment="1">
      <alignment horizontal="left"/>
    </xf>
    <xf numFmtId="0" fontId="0" fillId="0" borderId="10" xfId="0" applyBorder="1" applyAlignment="1">
      <alignment horizontal="center"/>
    </xf>
    <xf numFmtId="2" fontId="0" fillId="0" borderId="10" xfId="0" applyNumberFormat="1" applyBorder="1"/>
    <xf numFmtId="0" fontId="0" fillId="0" borderId="10" xfId="0" applyBorder="1"/>
    <xf numFmtId="1" fontId="0" fillId="0" borderId="3" xfId="0" applyNumberFormat="1" applyBorder="1"/>
    <xf numFmtId="0" fontId="0" fillId="0" borderId="8" xfId="0" quotePrefix="1" applyBorder="1" applyAlignment="1">
      <alignment horizontal="left"/>
    </xf>
    <xf numFmtId="1" fontId="0" fillId="0" borderId="7" xfId="0" applyNumberFormat="1" applyBorder="1"/>
    <xf numFmtId="1" fontId="0" fillId="0" borderId="8" xfId="0" applyNumberFormat="1" applyBorder="1"/>
    <xf numFmtId="1" fontId="0" fillId="0" borderId="11" xfId="0" applyNumberFormat="1" applyBorder="1"/>
    <xf numFmtId="1" fontId="0" fillId="0" borderId="10" xfId="0" applyNumberFormat="1" applyBorder="1"/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6" xfId="0" applyNumberFormat="1" applyBorder="1"/>
    <xf numFmtId="1" fontId="0" fillId="0" borderId="12" xfId="0" applyNumberFormat="1" applyBorder="1"/>
    <xf numFmtId="0" fontId="0" fillId="0" borderId="10" xfId="0" quotePrefix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1" fontId="0" fillId="0" borderId="9" xfId="0" applyNumberFormat="1" applyBorder="1"/>
    <xf numFmtId="0" fontId="0" fillId="0" borderId="10" xfId="0" applyBorder="1" applyAlignment="1">
      <alignment horizontal="left"/>
    </xf>
    <xf numFmtId="0" fontId="0" fillId="0" borderId="6" xfId="0" applyBorder="1"/>
    <xf numFmtId="1" fontId="0" fillId="0" borderId="0" xfId="0" applyNumberFormat="1" applyBorder="1"/>
    <xf numFmtId="2" fontId="0" fillId="0" borderId="3" xfId="0" applyNumberFormat="1" applyBorder="1"/>
    <xf numFmtId="2" fontId="0" fillId="0" borderId="0" xfId="0" applyNumberFormat="1" applyBorder="1"/>
    <xf numFmtId="1" fontId="1" fillId="0" borderId="1" xfId="0" applyNumberFormat="1" applyFont="1" applyBorder="1"/>
    <xf numFmtId="2" fontId="0" fillId="0" borderId="4" xfId="0" applyNumberFormat="1" applyBorder="1"/>
    <xf numFmtId="0" fontId="0" fillId="0" borderId="1" xfId="0" applyFill="1" applyBorder="1"/>
    <xf numFmtId="0" fontId="2" fillId="0" borderId="1" xfId="0" applyFont="1" applyBorder="1"/>
    <xf numFmtId="1" fontId="0" fillId="0" borderId="1" xfId="0" applyNumberFormat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Border="1"/>
    <xf numFmtId="0" fontId="0" fillId="0" borderId="4" xfId="0" quotePrefix="1" applyFill="1" applyBorder="1" applyAlignment="1">
      <alignment horizontal="left"/>
    </xf>
    <xf numFmtId="2" fontId="0" fillId="0" borderId="11" xfId="0" applyNumberFormat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9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quotePrefix="1" applyAlignment="1">
      <alignment horizontal="right"/>
    </xf>
    <xf numFmtId="10" fontId="0" fillId="0" borderId="0" xfId="0" applyNumberFormat="1"/>
    <xf numFmtId="10" fontId="0" fillId="0" borderId="1" xfId="0" quotePrefix="1" applyNumberFormat="1" applyBorder="1" applyAlignment="1">
      <alignment horizontal="right"/>
    </xf>
    <xf numFmtId="0" fontId="1" fillId="0" borderId="6" xfId="0" applyFont="1" applyBorder="1"/>
    <xf numFmtId="0" fontId="1" fillId="0" borderId="8" xfId="0" applyFont="1" applyBorder="1"/>
    <xf numFmtId="0" fontId="0" fillId="0" borderId="13" xfId="0" applyBorder="1"/>
    <xf numFmtId="0" fontId="6" fillId="0" borderId="3" xfId="0" applyFont="1" applyBorder="1"/>
    <xf numFmtId="0" fontId="6" fillId="0" borderId="10" xfId="0" quotePrefix="1" applyFont="1" applyBorder="1" applyAlignment="1">
      <alignment horizontal="left"/>
    </xf>
    <xf numFmtId="0" fontId="6" fillId="0" borderId="10" xfId="0" applyFont="1" applyBorder="1"/>
    <xf numFmtId="0" fontId="3" fillId="0" borderId="3" xfId="0" quotePrefix="1" applyFont="1" applyBorder="1" applyAlignment="1">
      <alignment horizontal="left" vertical="justify"/>
    </xf>
    <xf numFmtId="1" fontId="0" fillId="0" borderId="3" xfId="0" applyNumberFormat="1" applyBorder="1" applyAlignment="1">
      <alignment vertical="justify"/>
    </xf>
    <xf numFmtId="0" fontId="3" fillId="0" borderId="3" xfId="0" applyFont="1" applyBorder="1" applyAlignment="1">
      <alignment horizontal="left" vertical="justify"/>
    </xf>
    <xf numFmtId="0" fontId="1" fillId="0" borderId="10" xfId="0" applyFont="1" applyFill="1" applyBorder="1"/>
    <xf numFmtId="0" fontId="0" fillId="0" borderId="14" xfId="0" applyBorder="1"/>
    <xf numFmtId="0" fontId="3" fillId="0" borderId="10" xfId="0" applyFont="1" applyBorder="1" applyAlignment="1">
      <alignment horizontal="left" vertical="justify"/>
    </xf>
    <xf numFmtId="0" fontId="7" fillId="0" borderId="10" xfId="0" quotePrefix="1" applyFont="1" applyBorder="1" applyAlignment="1">
      <alignment horizontal="left"/>
    </xf>
    <xf numFmtId="0" fontId="1" fillId="0" borderId="3" xfId="0" applyFont="1" applyBorder="1"/>
    <xf numFmtId="0" fontId="1" fillId="0" borderId="10" xfId="0" applyFont="1" applyBorder="1"/>
    <xf numFmtId="0" fontId="0" fillId="0" borderId="2" xfId="0" applyBorder="1" applyAlignment="1">
      <alignment horizontal="left"/>
    </xf>
    <xf numFmtId="0" fontId="0" fillId="0" borderId="11" xfId="0" applyBorder="1"/>
    <xf numFmtId="2" fontId="0" fillId="0" borderId="9" xfId="0" applyNumberFormat="1" applyBorder="1"/>
    <xf numFmtId="2" fontId="0" fillId="0" borderId="15" xfId="0" applyNumberFormat="1" applyBorder="1"/>
    <xf numFmtId="0" fontId="0" fillId="0" borderId="12" xfId="0" applyBorder="1"/>
    <xf numFmtId="0" fontId="5" fillId="0" borderId="8" xfId="0" quotePrefix="1" applyFont="1" applyBorder="1" applyAlignment="1">
      <alignment horizontal="left"/>
    </xf>
    <xf numFmtId="0" fontId="5" fillId="0" borderId="1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quotePrefix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37"/>
  <sheetViews>
    <sheetView topLeftCell="A16" workbookViewId="0">
      <selection activeCell="E30" sqref="E30"/>
    </sheetView>
  </sheetViews>
  <sheetFormatPr baseColWidth="10" defaultColWidth="9.140625" defaultRowHeight="12.75"/>
  <cols>
    <col min="1" max="3" width="9.140625" customWidth="1"/>
    <col min="4" max="4" width="38" customWidth="1"/>
    <col min="5" max="5" width="10.85546875" style="25" customWidth="1"/>
    <col min="6" max="6" width="13.5703125" customWidth="1"/>
    <col min="7" max="7" width="13" customWidth="1"/>
  </cols>
  <sheetData>
    <row r="2" spans="4:5">
      <c r="D2" s="26" t="s">
        <v>10</v>
      </c>
    </row>
    <row r="3" spans="4:5">
      <c r="D3" s="3"/>
      <c r="E3" s="23" t="s">
        <v>6</v>
      </c>
    </row>
    <row r="4" spans="4:5">
      <c r="D4" s="4" t="s">
        <v>0</v>
      </c>
      <c r="E4" s="23">
        <v>400</v>
      </c>
    </row>
    <row r="5" spans="4:5">
      <c r="D5" s="5" t="s">
        <v>14</v>
      </c>
      <c r="E5" s="23">
        <v>240</v>
      </c>
    </row>
    <row r="6" spans="4:5">
      <c r="D6" s="5" t="s">
        <v>15</v>
      </c>
      <c r="E6" s="23">
        <v>1350</v>
      </c>
    </row>
    <row r="7" spans="4:5">
      <c r="D7" s="5" t="s">
        <v>160</v>
      </c>
      <c r="E7" s="23">
        <v>1400</v>
      </c>
    </row>
    <row r="8" spans="4:5" ht="25.5" customHeight="1">
      <c r="D8" s="6" t="s">
        <v>89</v>
      </c>
      <c r="E8" s="23">
        <v>300</v>
      </c>
    </row>
    <row r="9" spans="4:5">
      <c r="D9" s="5" t="s">
        <v>7</v>
      </c>
      <c r="E9" s="23">
        <f>SUM(E4:E8)</f>
        <v>3690</v>
      </c>
    </row>
    <row r="11" spans="4:5">
      <c r="D11" s="26" t="s">
        <v>11</v>
      </c>
    </row>
    <row r="12" spans="4:5">
      <c r="D12" s="3"/>
      <c r="E12" s="23" t="s">
        <v>6</v>
      </c>
    </row>
    <row r="13" spans="4:5">
      <c r="D13" s="9" t="s">
        <v>18</v>
      </c>
      <c r="E13" s="23">
        <v>420</v>
      </c>
    </row>
    <row r="14" spans="4:5">
      <c r="D14" s="5" t="s">
        <v>64</v>
      </c>
      <c r="E14" s="23">
        <v>435</v>
      </c>
    </row>
    <row r="15" spans="4:5">
      <c r="D15" s="5" t="s">
        <v>17</v>
      </c>
      <c r="E15" s="23">
        <v>516</v>
      </c>
    </row>
    <row r="16" spans="4:5">
      <c r="D16" s="5" t="s">
        <v>3</v>
      </c>
      <c r="E16" s="23">
        <v>250</v>
      </c>
    </row>
    <row r="17" spans="4:7">
      <c r="D17" s="4" t="s">
        <v>4</v>
      </c>
      <c r="E17" s="23">
        <v>620</v>
      </c>
    </row>
    <row r="18" spans="4:7">
      <c r="D18" s="5" t="s">
        <v>7</v>
      </c>
      <c r="E18" s="72">
        <f>SUM(E13:E17)</f>
        <v>2241</v>
      </c>
    </row>
    <row r="20" spans="4:7">
      <c r="D20" s="26" t="s">
        <v>12</v>
      </c>
    </row>
    <row r="21" spans="4:7">
      <c r="D21" s="3"/>
      <c r="E21" s="23" t="s">
        <v>6</v>
      </c>
    </row>
    <row r="22" spans="4:7" ht="25.5" customHeight="1">
      <c r="D22" s="6" t="s">
        <v>151</v>
      </c>
      <c r="E22" s="23">
        <f>648*'Punto equilibrio'!G21</f>
        <v>10013.220000000001</v>
      </c>
    </row>
    <row r="23" spans="4:7" ht="25.5" customHeight="1">
      <c r="D23" s="6" t="s">
        <v>152</v>
      </c>
      <c r="E23" s="24">
        <f>648*'Punto equilibrio'!G29</f>
        <v>7322.4</v>
      </c>
      <c r="G23" s="18"/>
    </row>
    <row r="24" spans="4:7" ht="12.75" customHeight="1">
      <c r="D24" s="6" t="s">
        <v>16</v>
      </c>
      <c r="E24" s="23">
        <v>252</v>
      </c>
    </row>
    <row r="25" spans="4:7" ht="12.75" customHeight="1">
      <c r="D25" s="6" t="s">
        <v>158</v>
      </c>
      <c r="E25" s="23">
        <v>4900</v>
      </c>
      <c r="G25" s="18"/>
    </row>
    <row r="26" spans="4:7">
      <c r="D26" s="5" t="s">
        <v>157</v>
      </c>
      <c r="E26" s="23">
        <v>600</v>
      </c>
    </row>
    <row r="27" spans="4:7">
      <c r="D27" s="7" t="s">
        <v>5</v>
      </c>
      <c r="E27" s="23">
        <v>350</v>
      </c>
    </row>
    <row r="28" spans="4:7" ht="26.25" customHeight="1">
      <c r="D28" s="19" t="s">
        <v>63</v>
      </c>
      <c r="E28" s="23">
        <v>270</v>
      </c>
    </row>
    <row r="29" spans="4:7">
      <c r="D29" s="58" t="s">
        <v>83</v>
      </c>
      <c r="E29" s="23">
        <v>200</v>
      </c>
    </row>
    <row r="30" spans="4:7">
      <c r="D30" s="8" t="s">
        <v>7</v>
      </c>
      <c r="E30" s="23">
        <f>SUM(E22:E29)</f>
        <v>23907.620000000003</v>
      </c>
    </row>
    <row r="32" spans="4:7">
      <c r="D32" s="27" t="s">
        <v>8</v>
      </c>
    </row>
    <row r="33" spans="4:5">
      <c r="D33" s="3"/>
      <c r="E33" s="23" t="s">
        <v>84</v>
      </c>
    </row>
    <row r="34" spans="4:5">
      <c r="D34" s="5" t="s">
        <v>9</v>
      </c>
      <c r="E34" s="72">
        <f>E9</f>
        <v>3690</v>
      </c>
    </row>
    <row r="35" spans="4:5">
      <c r="D35" s="4" t="s">
        <v>13</v>
      </c>
      <c r="E35" s="72">
        <f>E18</f>
        <v>2241</v>
      </c>
    </row>
    <row r="36" spans="4:5">
      <c r="D36" s="4" t="s">
        <v>1</v>
      </c>
      <c r="E36" s="23">
        <f>E30</f>
        <v>23907.620000000003</v>
      </c>
    </row>
    <row r="37" spans="4:5">
      <c r="D37" s="4" t="s">
        <v>7</v>
      </c>
      <c r="E37" s="24">
        <f>SUM(E34:E36)</f>
        <v>29838.620000000003</v>
      </c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H39"/>
  <sheetViews>
    <sheetView topLeftCell="A10" workbookViewId="0">
      <selection activeCell="F43" sqref="F43"/>
    </sheetView>
  </sheetViews>
  <sheetFormatPr baseColWidth="10" defaultColWidth="9.140625" defaultRowHeight="12.75"/>
  <cols>
    <col min="1" max="3" width="9.140625" customWidth="1"/>
    <col min="4" max="4" width="23" customWidth="1"/>
    <col min="5" max="5" width="12.5703125" customWidth="1"/>
    <col min="6" max="6" width="12.7109375" customWidth="1"/>
  </cols>
  <sheetData>
    <row r="2" spans="2:8">
      <c r="D2" s="1"/>
    </row>
    <row r="4" spans="2:8">
      <c r="B4" s="16"/>
      <c r="C4" s="16"/>
      <c r="D4" s="26" t="s">
        <v>128</v>
      </c>
      <c r="E4" s="16"/>
      <c r="F4" s="16"/>
      <c r="G4" s="16"/>
      <c r="H4" s="16"/>
    </row>
    <row r="5" spans="2:8">
      <c r="D5" s="14" t="s">
        <v>2</v>
      </c>
      <c r="E5" s="10" t="s">
        <v>19</v>
      </c>
      <c r="F5" s="10" t="s">
        <v>20</v>
      </c>
      <c r="G5" s="10" t="s">
        <v>7</v>
      </c>
    </row>
    <row r="6" spans="2:8">
      <c r="D6" s="7" t="s">
        <v>21</v>
      </c>
      <c r="E6" s="11" t="s">
        <v>22</v>
      </c>
      <c r="F6" s="7">
        <v>11</v>
      </c>
      <c r="G6" s="7">
        <v>12.65</v>
      </c>
    </row>
    <row r="7" spans="2:8">
      <c r="D7" s="7" t="s">
        <v>23</v>
      </c>
      <c r="E7" s="12" t="s">
        <v>24</v>
      </c>
      <c r="F7" s="13">
        <v>3.5</v>
      </c>
      <c r="G7" s="7">
        <v>0.63</v>
      </c>
    </row>
    <row r="8" spans="2:8">
      <c r="D8" s="9" t="s">
        <v>28</v>
      </c>
      <c r="E8" s="7">
        <v>1</v>
      </c>
      <c r="F8" s="7">
        <v>0.09</v>
      </c>
      <c r="G8" s="7">
        <v>0.09</v>
      </c>
    </row>
    <row r="9" spans="2:8">
      <c r="D9" s="9" t="s">
        <v>29</v>
      </c>
      <c r="E9" s="7">
        <v>4</v>
      </c>
      <c r="F9" s="7">
        <v>0.04</v>
      </c>
      <c r="G9" s="7">
        <f>F9*4</f>
        <v>0.16</v>
      </c>
    </row>
    <row r="10" spans="2:8">
      <c r="D10" s="9" t="s">
        <v>30</v>
      </c>
      <c r="E10" s="7">
        <v>1</v>
      </c>
      <c r="F10" s="13">
        <v>0.9</v>
      </c>
      <c r="G10" s="13">
        <v>0.9</v>
      </c>
    </row>
    <row r="11" spans="2:8">
      <c r="D11" s="9" t="s">
        <v>31</v>
      </c>
      <c r="E11" s="7">
        <v>1</v>
      </c>
      <c r="F11" s="7">
        <v>0.14000000000000001</v>
      </c>
      <c r="G11" s="7">
        <v>0.14000000000000001</v>
      </c>
    </row>
    <row r="12" spans="2:8">
      <c r="D12" s="9" t="s">
        <v>32</v>
      </c>
      <c r="E12" s="7">
        <v>1</v>
      </c>
      <c r="F12" s="13">
        <v>0.1</v>
      </c>
      <c r="G12" s="13">
        <v>0.1</v>
      </c>
    </row>
    <row r="13" spans="2:8">
      <c r="D13" s="9" t="s">
        <v>33</v>
      </c>
      <c r="E13" s="7">
        <v>1</v>
      </c>
      <c r="F13" s="7">
        <v>0.05</v>
      </c>
      <c r="G13" s="7">
        <v>0.05</v>
      </c>
    </row>
    <row r="14" spans="2:8">
      <c r="D14" s="9" t="s">
        <v>34</v>
      </c>
      <c r="E14" s="7">
        <v>1</v>
      </c>
      <c r="F14" s="7">
        <v>0.11</v>
      </c>
      <c r="G14" s="7">
        <v>0.11</v>
      </c>
    </row>
    <row r="15" spans="2:8">
      <c r="D15" s="9" t="s">
        <v>35</v>
      </c>
      <c r="E15" s="7">
        <v>1</v>
      </c>
      <c r="F15" s="7">
        <v>0.02</v>
      </c>
      <c r="G15" s="7">
        <v>0.02</v>
      </c>
    </row>
    <row r="16" spans="2:8">
      <c r="D16" s="9" t="s">
        <v>37</v>
      </c>
      <c r="E16" s="7">
        <v>10</v>
      </c>
      <c r="F16" s="7">
        <v>0.02</v>
      </c>
      <c r="G16" s="13">
        <f>F16*10</f>
        <v>0.2</v>
      </c>
    </row>
    <row r="17" spans="4:7">
      <c r="D17" s="9" t="s">
        <v>38</v>
      </c>
      <c r="E17" s="7">
        <v>10</v>
      </c>
      <c r="F17" s="7">
        <v>1.4999999999999999E-2</v>
      </c>
      <c r="G17" s="7">
        <f>F17*10</f>
        <v>0.15</v>
      </c>
    </row>
    <row r="18" spans="4:7">
      <c r="D18" s="9" t="s">
        <v>39</v>
      </c>
      <c r="E18" s="7">
        <v>10</v>
      </c>
      <c r="F18" s="7">
        <v>1.4999999999999999E-2</v>
      </c>
      <c r="G18" s="7">
        <f>F18*10</f>
        <v>0.15</v>
      </c>
    </row>
    <row r="19" spans="4:7">
      <c r="D19" s="9" t="s">
        <v>40</v>
      </c>
      <c r="E19" s="12" t="s">
        <v>41</v>
      </c>
      <c r="F19" s="7">
        <v>0.15</v>
      </c>
      <c r="G19" s="15">
        <f>0.25*0.15</f>
        <v>3.7499999999999999E-2</v>
      </c>
    </row>
    <row r="20" spans="4:7">
      <c r="D20" s="9" t="s">
        <v>42</v>
      </c>
      <c r="E20" s="7">
        <v>1</v>
      </c>
      <c r="F20" s="7">
        <v>6.5000000000000002E-2</v>
      </c>
      <c r="G20" s="7">
        <v>6.5000000000000002E-2</v>
      </c>
    </row>
    <row r="21" spans="4:7">
      <c r="D21" s="7" t="s">
        <v>7</v>
      </c>
      <c r="E21" s="7"/>
      <c r="F21" s="7"/>
      <c r="G21" s="13">
        <f>SUM(G6:G20)</f>
        <v>15.452500000000001</v>
      </c>
    </row>
    <row r="23" spans="4:7">
      <c r="D23" s="65" t="s">
        <v>131</v>
      </c>
    </row>
    <row r="24" spans="4:7">
      <c r="D24" s="14" t="s">
        <v>46</v>
      </c>
      <c r="E24" s="10" t="s">
        <v>19</v>
      </c>
      <c r="F24" s="10" t="s">
        <v>20</v>
      </c>
      <c r="G24" s="10" t="s">
        <v>7</v>
      </c>
    </row>
    <row r="25" spans="4:7">
      <c r="D25" s="14" t="s">
        <v>25</v>
      </c>
      <c r="E25" s="7">
        <v>1</v>
      </c>
      <c r="F25" s="13">
        <v>0.6</v>
      </c>
      <c r="G25" s="13">
        <v>0.6</v>
      </c>
    </row>
    <row r="26" spans="4:7">
      <c r="D26" s="9" t="s">
        <v>26</v>
      </c>
      <c r="E26" s="7">
        <v>1</v>
      </c>
      <c r="F26" s="13">
        <v>4.5</v>
      </c>
      <c r="G26" s="13">
        <v>4.5</v>
      </c>
    </row>
    <row r="27" spans="4:7">
      <c r="D27" s="9" t="s">
        <v>27</v>
      </c>
      <c r="E27" s="7">
        <v>1</v>
      </c>
      <c r="F27" s="7">
        <v>5</v>
      </c>
      <c r="G27" s="7">
        <v>5</v>
      </c>
    </row>
    <row r="28" spans="4:7">
      <c r="D28" s="9" t="s">
        <v>36</v>
      </c>
      <c r="E28" s="7">
        <v>2</v>
      </c>
      <c r="F28" s="13">
        <v>0.6</v>
      </c>
      <c r="G28" s="13">
        <f>F28*2</f>
        <v>1.2</v>
      </c>
    </row>
    <row r="29" spans="4:7">
      <c r="D29" s="14" t="s">
        <v>7</v>
      </c>
      <c r="E29" s="7"/>
      <c r="F29" s="13"/>
      <c r="G29" s="13">
        <f>SUM(G25:G28)</f>
        <v>11.299999999999999</v>
      </c>
    </row>
    <row r="31" spans="4:7">
      <c r="D31" s="65" t="s">
        <v>43</v>
      </c>
    </row>
    <row r="32" spans="4:7">
      <c r="D32" s="4" t="s">
        <v>44</v>
      </c>
      <c r="E32" s="17">
        <f>G21</f>
        <v>15.452500000000001</v>
      </c>
      <c r="F32" s="16"/>
      <c r="G32" s="16"/>
    </row>
    <row r="33" spans="4:7">
      <c r="D33" s="4" t="s">
        <v>45</v>
      </c>
      <c r="E33" s="17">
        <f>G29</f>
        <v>11.299999999999999</v>
      </c>
      <c r="F33" s="16"/>
      <c r="G33" s="16"/>
    </row>
    <row r="34" spans="4:7">
      <c r="D34" s="4" t="s">
        <v>7</v>
      </c>
      <c r="E34" s="17">
        <f>SUM(E32:E33)</f>
        <v>26.752499999999998</v>
      </c>
      <c r="F34" s="16"/>
      <c r="G34" s="16"/>
    </row>
    <row r="36" spans="4:7">
      <c r="D36" s="40" t="s">
        <v>129</v>
      </c>
    </row>
    <row r="37" spans="4:7">
      <c r="D37" s="4" t="s">
        <v>130</v>
      </c>
      <c r="E37" s="22">
        <f>Presupuestos!C40</f>
        <v>68040</v>
      </c>
    </row>
    <row r="38" spans="4:7">
      <c r="D38" s="4" t="s">
        <v>106</v>
      </c>
      <c r="E38" s="22">
        <f>Presupuestos!C48</f>
        <v>26700</v>
      </c>
    </row>
    <row r="39" spans="4:7">
      <c r="D39" s="4" t="s">
        <v>7</v>
      </c>
      <c r="E39" s="22">
        <f>SUM(E37:E38)</f>
        <v>94740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E7:H20"/>
  <sheetViews>
    <sheetView workbookViewId="0">
      <selection activeCell="F20" sqref="F20"/>
    </sheetView>
  </sheetViews>
  <sheetFormatPr baseColWidth="10" defaultColWidth="9.140625" defaultRowHeight="12.75"/>
  <cols>
    <col min="1" max="4" width="9.140625" customWidth="1"/>
    <col min="5" max="5" width="10" customWidth="1"/>
    <col min="6" max="6" width="10.42578125" customWidth="1"/>
    <col min="7" max="7" width="12" customWidth="1"/>
    <col min="8" max="8" width="12.7109375" customWidth="1"/>
  </cols>
  <sheetData>
    <row r="7" spans="5:8">
      <c r="E7" s="20" t="s">
        <v>47</v>
      </c>
      <c r="F7" s="20" t="s">
        <v>59</v>
      </c>
      <c r="G7" s="21" t="s">
        <v>61</v>
      </c>
      <c r="H7" s="21" t="s">
        <v>62</v>
      </c>
    </row>
    <row r="8" spans="5:8">
      <c r="E8" s="4" t="s">
        <v>48</v>
      </c>
      <c r="F8" s="22">
        <v>648</v>
      </c>
      <c r="G8" s="4">
        <v>40</v>
      </c>
      <c r="H8" s="4">
        <f>F8*G8</f>
        <v>25920</v>
      </c>
    </row>
    <row r="9" spans="5:8">
      <c r="E9" s="4" t="s">
        <v>49</v>
      </c>
      <c r="F9" s="22">
        <v>648</v>
      </c>
      <c r="G9" s="4">
        <v>40</v>
      </c>
      <c r="H9" s="4">
        <f t="shared" ref="H9:H19" si="0">F9*G9</f>
        <v>25920</v>
      </c>
    </row>
    <row r="10" spans="5:8">
      <c r="E10" s="4" t="s">
        <v>50</v>
      </c>
      <c r="F10" s="22">
        <v>648</v>
      </c>
      <c r="G10" s="4">
        <v>40</v>
      </c>
      <c r="H10" s="22">
        <f t="shared" si="0"/>
        <v>25920</v>
      </c>
    </row>
    <row r="11" spans="5:8">
      <c r="E11" s="4" t="s">
        <v>51</v>
      </c>
      <c r="F11" s="22">
        <v>648</v>
      </c>
      <c r="G11" s="4">
        <v>40</v>
      </c>
      <c r="H11" s="4">
        <f t="shared" si="0"/>
        <v>25920</v>
      </c>
    </row>
    <row r="12" spans="5:8">
      <c r="E12" s="4" t="s">
        <v>52</v>
      </c>
      <c r="F12" s="22">
        <v>648</v>
      </c>
      <c r="G12" s="4">
        <v>40</v>
      </c>
      <c r="H12" s="22">
        <f t="shared" si="0"/>
        <v>25920</v>
      </c>
    </row>
    <row r="13" spans="5:8">
      <c r="E13" s="4" t="s">
        <v>53</v>
      </c>
      <c r="F13" s="22">
        <v>648</v>
      </c>
      <c r="G13" s="4">
        <v>40</v>
      </c>
      <c r="H13" s="22">
        <f t="shared" si="0"/>
        <v>25920</v>
      </c>
    </row>
    <row r="14" spans="5:8">
      <c r="E14" s="4" t="s">
        <v>54</v>
      </c>
      <c r="F14" s="22">
        <v>648</v>
      </c>
      <c r="G14" s="4">
        <v>40</v>
      </c>
      <c r="H14" s="22">
        <f t="shared" si="0"/>
        <v>25920</v>
      </c>
    </row>
    <row r="15" spans="5:8">
      <c r="E15" s="4" t="s">
        <v>55</v>
      </c>
      <c r="F15" s="22">
        <v>648</v>
      </c>
      <c r="G15" s="4">
        <v>40</v>
      </c>
      <c r="H15" s="22">
        <f t="shared" si="0"/>
        <v>25920</v>
      </c>
    </row>
    <row r="16" spans="5:8">
      <c r="E16" s="5" t="s">
        <v>60</v>
      </c>
      <c r="F16" s="22">
        <v>648</v>
      </c>
      <c r="G16" s="4">
        <v>40</v>
      </c>
      <c r="H16" s="22">
        <f t="shared" si="0"/>
        <v>25920</v>
      </c>
    </row>
    <row r="17" spans="5:8">
      <c r="E17" s="4" t="s">
        <v>56</v>
      </c>
      <c r="F17" s="22">
        <v>648</v>
      </c>
      <c r="G17" s="4">
        <v>40</v>
      </c>
      <c r="H17" s="22">
        <f t="shared" si="0"/>
        <v>25920</v>
      </c>
    </row>
    <row r="18" spans="5:8">
      <c r="E18" s="4" t="s">
        <v>57</v>
      </c>
      <c r="F18" s="22">
        <v>648</v>
      </c>
      <c r="G18" s="4">
        <v>40</v>
      </c>
      <c r="H18" s="22">
        <f t="shared" si="0"/>
        <v>25920</v>
      </c>
    </row>
    <row r="19" spans="5:8">
      <c r="E19" s="4" t="s">
        <v>58</v>
      </c>
      <c r="F19" s="22">
        <v>648</v>
      </c>
      <c r="G19" s="4">
        <v>40</v>
      </c>
      <c r="H19" s="22">
        <f t="shared" si="0"/>
        <v>25920</v>
      </c>
    </row>
    <row r="20" spans="5:8">
      <c r="E20" s="4" t="s">
        <v>7</v>
      </c>
      <c r="F20" s="22">
        <f>SUM(F8:F19)</f>
        <v>7776</v>
      </c>
      <c r="G20" s="4">
        <v>40</v>
      </c>
      <c r="H20" s="22">
        <f>SUM(H8:H19)</f>
        <v>311040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6:G16"/>
  <sheetViews>
    <sheetView workbookViewId="0">
      <selection activeCell="F8" sqref="F8"/>
    </sheetView>
  </sheetViews>
  <sheetFormatPr baseColWidth="10" defaultRowHeight="12.75"/>
  <cols>
    <col min="3" max="3" width="9.140625" customWidth="1"/>
    <col min="5" max="5" width="12.7109375" customWidth="1"/>
  </cols>
  <sheetData>
    <row r="6" spans="3:7" ht="12.75" customHeight="1">
      <c r="C6" s="28" t="s">
        <v>65</v>
      </c>
      <c r="D6" s="29" t="s">
        <v>66</v>
      </c>
      <c r="E6" s="28" t="s">
        <v>67</v>
      </c>
      <c r="F6" s="28" t="s">
        <v>68</v>
      </c>
      <c r="G6" s="28" t="s">
        <v>69</v>
      </c>
    </row>
    <row r="7" spans="3:7">
      <c r="C7" s="30">
        <v>0</v>
      </c>
      <c r="D7" s="31">
        <v>10000</v>
      </c>
      <c r="E7" s="32"/>
      <c r="F7" s="31"/>
      <c r="G7" s="31"/>
    </row>
    <row r="8" spans="3:7">
      <c r="C8" s="30">
        <v>1</v>
      </c>
      <c r="D8" s="33">
        <f>D7-E8</f>
        <v>8000</v>
      </c>
      <c r="E8" s="38">
        <f>D7/5</f>
        <v>2000</v>
      </c>
      <c r="F8" s="33">
        <f>D7*0.24</f>
        <v>2400</v>
      </c>
      <c r="G8" s="33">
        <f>E8+F8</f>
        <v>4400</v>
      </c>
    </row>
    <row r="9" spans="3:7">
      <c r="C9" s="30">
        <v>2</v>
      </c>
      <c r="D9" s="33">
        <f>D8-E9</f>
        <v>6000</v>
      </c>
      <c r="E9" s="38">
        <f>E8</f>
        <v>2000</v>
      </c>
      <c r="F9" s="33">
        <f>D8*0.24</f>
        <v>1920</v>
      </c>
      <c r="G9" s="33">
        <f>E9+F9</f>
        <v>3920</v>
      </c>
    </row>
    <row r="10" spans="3:7">
      <c r="C10" s="30">
        <v>3</v>
      </c>
      <c r="D10" s="33">
        <f>D9-E10</f>
        <v>4000</v>
      </c>
      <c r="E10" s="38">
        <f>E9</f>
        <v>2000</v>
      </c>
      <c r="F10" s="33">
        <f>D9*0.24</f>
        <v>1440</v>
      </c>
      <c r="G10" s="33">
        <f>E10+F10</f>
        <v>3440</v>
      </c>
    </row>
    <row r="11" spans="3:7">
      <c r="C11" s="30">
        <v>4</v>
      </c>
      <c r="D11" s="33">
        <f>D10-E11</f>
        <v>2000</v>
      </c>
      <c r="E11" s="38">
        <f>E10</f>
        <v>2000</v>
      </c>
      <c r="F11" s="33">
        <f>D10*0.24</f>
        <v>960</v>
      </c>
      <c r="G11" s="33">
        <f>E11+F11</f>
        <v>2960</v>
      </c>
    </row>
    <row r="12" spans="3:7">
      <c r="C12" s="30">
        <v>5</v>
      </c>
      <c r="D12" s="33">
        <f>D11-E12</f>
        <v>0</v>
      </c>
      <c r="E12" s="38">
        <f>E11</f>
        <v>2000</v>
      </c>
      <c r="F12" s="33">
        <f>D11*0.24</f>
        <v>480</v>
      </c>
      <c r="G12" s="33">
        <f>E12+F12</f>
        <v>2480</v>
      </c>
    </row>
    <row r="13" spans="3:7">
      <c r="C13" s="34" t="s">
        <v>7</v>
      </c>
      <c r="D13" s="35"/>
      <c r="E13" s="36">
        <f>SUM(E8:E12)</f>
        <v>10000</v>
      </c>
      <c r="F13" s="39">
        <f>SUM(F8:F12)</f>
        <v>7200</v>
      </c>
      <c r="G13" s="39">
        <f>SUM(G8:G12)</f>
        <v>17200</v>
      </c>
    </row>
    <row r="16" spans="3:7">
      <c r="D16" s="2" t="s">
        <v>70</v>
      </c>
      <c r="E16" s="37">
        <v>0.24</v>
      </c>
    </row>
  </sheetData>
  <phoneticPr fontId="4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4:H100"/>
  <sheetViews>
    <sheetView topLeftCell="A99" workbookViewId="0">
      <selection activeCell="A117" sqref="A117"/>
    </sheetView>
  </sheetViews>
  <sheetFormatPr baseColWidth="10" defaultRowHeight="12.75"/>
  <cols>
    <col min="1" max="1" width="15.42578125" customWidth="1"/>
    <col min="2" max="2" width="24" customWidth="1"/>
    <col min="6" max="6" width="12.28515625" bestFit="1" customWidth="1"/>
  </cols>
  <sheetData>
    <row r="4" spans="2:8">
      <c r="B4" s="40" t="s">
        <v>71</v>
      </c>
    </row>
    <row r="5" spans="2:8">
      <c r="B5" s="4"/>
      <c r="C5" s="41" t="s">
        <v>72</v>
      </c>
      <c r="D5" s="20" t="s">
        <v>73</v>
      </c>
      <c r="E5" s="20" t="s">
        <v>74</v>
      </c>
      <c r="F5" s="20" t="s">
        <v>75</v>
      </c>
      <c r="G5" s="20" t="s">
        <v>76</v>
      </c>
      <c r="H5" s="48"/>
    </row>
    <row r="6" spans="2:8">
      <c r="B6" s="43" t="s">
        <v>59</v>
      </c>
      <c r="C6" s="45">
        <f>'Proyección ventas'!F20</f>
        <v>7776</v>
      </c>
      <c r="D6" s="54">
        <f>C6*1.15</f>
        <v>8942.4</v>
      </c>
      <c r="E6" s="54">
        <f>D6*1.15</f>
        <v>10283.759999999998</v>
      </c>
      <c r="F6" s="54">
        <f>E6*1.15</f>
        <v>11826.323999999997</v>
      </c>
      <c r="G6" s="54">
        <f>F6*1.15</f>
        <v>13600.272599999995</v>
      </c>
      <c r="H6" s="49"/>
    </row>
    <row r="7" spans="2:8">
      <c r="B7" s="44" t="s">
        <v>81</v>
      </c>
      <c r="C7" s="42">
        <v>40</v>
      </c>
      <c r="D7" s="66">
        <f>C7*1.06</f>
        <v>42.400000000000006</v>
      </c>
      <c r="E7" s="66">
        <f>D7*1.06</f>
        <v>44.94400000000001</v>
      </c>
      <c r="F7" s="66">
        <f>E7*1.06</f>
        <v>47.640640000000012</v>
      </c>
      <c r="G7" s="66">
        <f>F7*1.06</f>
        <v>50.499078400000016</v>
      </c>
      <c r="H7" s="50"/>
    </row>
    <row r="8" spans="2:8">
      <c r="B8" s="4" t="s">
        <v>7</v>
      </c>
      <c r="C8" s="53">
        <f>C6*C7</f>
        <v>311040</v>
      </c>
      <c r="D8" s="46">
        <f>D6*D7</f>
        <v>379157.76000000001</v>
      </c>
      <c r="E8" s="46">
        <f>E6*E7</f>
        <v>462193.30944000004</v>
      </c>
      <c r="F8" s="46">
        <f>F6*F7</f>
        <v>563413.64420735999</v>
      </c>
      <c r="G8" s="46">
        <f>G6*G7</f>
        <v>686801.23228877177</v>
      </c>
      <c r="H8" s="49"/>
    </row>
    <row r="9" spans="2:8">
      <c r="B9" s="84" t="s">
        <v>159</v>
      </c>
      <c r="C9" s="69"/>
      <c r="D9" s="71"/>
      <c r="E9" s="71"/>
      <c r="F9" s="71"/>
      <c r="G9" s="71"/>
      <c r="H9" s="71"/>
    </row>
    <row r="10" spans="2:8">
      <c r="B10" s="47" t="s">
        <v>155</v>
      </c>
    </row>
    <row r="11" spans="2:8">
      <c r="B11" s="47"/>
    </row>
    <row r="12" spans="2:8">
      <c r="B12" s="65" t="s">
        <v>148</v>
      </c>
    </row>
    <row r="13" spans="2:8">
      <c r="B13" s="4"/>
      <c r="C13" s="41" t="s">
        <v>72</v>
      </c>
      <c r="D13" s="20" t="s">
        <v>73</v>
      </c>
      <c r="E13" s="20" t="s">
        <v>74</v>
      </c>
      <c r="F13" s="20" t="s">
        <v>75</v>
      </c>
      <c r="G13" s="20" t="s">
        <v>76</v>
      </c>
    </row>
    <row r="14" spans="2:8">
      <c r="B14" s="59" t="s">
        <v>146</v>
      </c>
      <c r="C14" s="45">
        <f>C6</f>
        <v>7776</v>
      </c>
      <c r="D14" s="45">
        <f>D6</f>
        <v>8942.4</v>
      </c>
      <c r="E14" s="45">
        <f>E6</f>
        <v>10283.759999999998</v>
      </c>
      <c r="F14" s="45">
        <f>F6</f>
        <v>11826.323999999997</v>
      </c>
      <c r="G14" s="45">
        <f>G6</f>
        <v>13600.272599999995</v>
      </c>
    </row>
    <row r="15" spans="2:8">
      <c r="B15" s="83" t="s">
        <v>147</v>
      </c>
      <c r="C15" s="46">
        <f>'Punto equilibrio'!G21</f>
        <v>15.452500000000001</v>
      </c>
      <c r="D15" s="46">
        <f>C15*1.06</f>
        <v>16.379650000000002</v>
      </c>
      <c r="E15" s="46">
        <f>D15*1.06</f>
        <v>17.362429000000002</v>
      </c>
      <c r="F15" s="46">
        <f>E15*1.06</f>
        <v>18.404174740000002</v>
      </c>
      <c r="G15" s="46">
        <f>F15*1.06</f>
        <v>19.508425224400003</v>
      </c>
    </row>
    <row r="16" spans="2:8">
      <c r="B16" s="4" t="s">
        <v>7</v>
      </c>
      <c r="C16" s="46">
        <f>C14*C15</f>
        <v>120158.64</v>
      </c>
      <c r="D16" s="46">
        <f>D14*D15</f>
        <v>146473.38216000001</v>
      </c>
      <c r="E16" s="46">
        <f>E14*E15</f>
        <v>178551.05285303999</v>
      </c>
      <c r="F16" s="46">
        <f>F14*F15</f>
        <v>217653.73342785574</v>
      </c>
      <c r="G16" s="46">
        <f>G14*G15</f>
        <v>265319.90104855609</v>
      </c>
    </row>
    <row r="17" spans="2:7">
      <c r="B17" s="84" t="s">
        <v>190</v>
      </c>
      <c r="C17" s="71"/>
      <c r="D17" s="71"/>
      <c r="E17" s="71"/>
      <c r="F17" s="71"/>
      <c r="G17" s="71"/>
    </row>
    <row r="18" spans="2:7">
      <c r="B18" s="47"/>
    </row>
    <row r="19" spans="2:7">
      <c r="B19" s="65" t="s">
        <v>149</v>
      </c>
    </row>
    <row r="20" spans="2:7">
      <c r="B20" s="4"/>
      <c r="C20" s="41" t="s">
        <v>72</v>
      </c>
      <c r="D20" s="20" t="s">
        <v>73</v>
      </c>
      <c r="E20" s="20" t="s">
        <v>74</v>
      </c>
      <c r="F20" s="20" t="s">
        <v>75</v>
      </c>
      <c r="G20" s="20" t="s">
        <v>76</v>
      </c>
    </row>
    <row r="21" spans="2:7">
      <c r="B21" s="59" t="s">
        <v>146</v>
      </c>
      <c r="C21" s="45">
        <f>C6</f>
        <v>7776</v>
      </c>
      <c r="D21" s="45">
        <f>D6</f>
        <v>8942.4</v>
      </c>
      <c r="E21" s="45">
        <f>E6</f>
        <v>10283.759999999998</v>
      </c>
      <c r="F21" s="45">
        <f>F6</f>
        <v>11826.323999999997</v>
      </c>
      <c r="G21" s="45">
        <f>G6</f>
        <v>13600.272599999995</v>
      </c>
    </row>
    <row r="22" spans="2:7">
      <c r="B22" s="83" t="s">
        <v>147</v>
      </c>
      <c r="C22" s="46">
        <f>'Punto equilibrio'!G29</f>
        <v>11.299999999999999</v>
      </c>
      <c r="D22" s="46">
        <f>C22*1.06</f>
        <v>11.978</v>
      </c>
      <c r="E22" s="46">
        <f>D22*1.06</f>
        <v>12.696680000000001</v>
      </c>
      <c r="F22" s="46">
        <f>E22*1.06</f>
        <v>13.458480800000002</v>
      </c>
      <c r="G22" s="46">
        <f>F22*1.06</f>
        <v>14.265989648000003</v>
      </c>
    </row>
    <row r="23" spans="2:7">
      <c r="B23" s="4" t="s">
        <v>7</v>
      </c>
      <c r="C23" s="46">
        <f>C21*C22</f>
        <v>87868.799999999988</v>
      </c>
      <c r="D23" s="46">
        <f>D21*D22</f>
        <v>107112.06719999999</v>
      </c>
      <c r="E23" s="46">
        <f>E21*E22</f>
        <v>130569.60991679999</v>
      </c>
      <c r="F23" s="46">
        <f>F21*F22</f>
        <v>159164.35448857918</v>
      </c>
      <c r="G23" s="46">
        <f>G21*G22</f>
        <v>194021.34812157802</v>
      </c>
    </row>
    <row r="24" spans="2:7">
      <c r="B24" s="84" t="s">
        <v>191</v>
      </c>
      <c r="C24" s="71"/>
      <c r="D24" s="71"/>
      <c r="E24" s="71"/>
      <c r="F24" s="71"/>
      <c r="G24" s="71"/>
    </row>
    <row r="25" spans="2:7">
      <c r="B25" s="16"/>
      <c r="C25" s="71"/>
      <c r="D25" s="71"/>
      <c r="E25" s="71"/>
      <c r="F25" s="71"/>
      <c r="G25" s="71"/>
    </row>
    <row r="26" spans="2:7">
      <c r="B26" s="40" t="s">
        <v>88</v>
      </c>
    </row>
    <row r="27" spans="2:7">
      <c r="B27" s="4"/>
      <c r="C27" s="41" t="s">
        <v>72</v>
      </c>
      <c r="D27" s="20" t="s">
        <v>73</v>
      </c>
      <c r="E27" s="20" t="s">
        <v>74</v>
      </c>
      <c r="F27" s="20" t="s">
        <v>75</v>
      </c>
      <c r="G27" s="20" t="s">
        <v>76</v>
      </c>
    </row>
    <row r="28" spans="2:7">
      <c r="B28" s="59" t="s">
        <v>2</v>
      </c>
      <c r="C28" s="62">
        <f>C16</f>
        <v>120158.64</v>
      </c>
      <c r="D28" s="62">
        <f>D16</f>
        <v>146473.38216000001</v>
      </c>
      <c r="E28" s="62">
        <f>E16</f>
        <v>178551.05285303999</v>
      </c>
      <c r="F28" s="62">
        <f>F16</f>
        <v>217653.73342785574</v>
      </c>
      <c r="G28" s="62">
        <f>G16</f>
        <v>265319.90104855609</v>
      </c>
    </row>
    <row r="29" spans="2:7">
      <c r="B29" s="60" t="s">
        <v>90</v>
      </c>
      <c r="C29" s="46">
        <f>C23</f>
        <v>87868.799999999988</v>
      </c>
      <c r="D29" s="46">
        <f>D23</f>
        <v>107112.06719999999</v>
      </c>
      <c r="E29" s="46">
        <f>E23</f>
        <v>130569.60991679999</v>
      </c>
      <c r="F29" s="46">
        <f>F23</f>
        <v>159164.35448857918</v>
      </c>
      <c r="G29" s="46">
        <f>G23</f>
        <v>194021.34812157802</v>
      </c>
    </row>
    <row r="30" spans="2:7">
      <c r="B30" s="4" t="s">
        <v>7</v>
      </c>
      <c r="C30" s="46">
        <f>SUM(C28:C29)</f>
        <v>208027.44</v>
      </c>
      <c r="D30" s="46">
        <f>SUM(D28:D29)</f>
        <v>253585.44936</v>
      </c>
      <c r="E30" s="46">
        <f>SUM(E28:E29)</f>
        <v>309120.66276983998</v>
      </c>
      <c r="F30" s="46">
        <f>SUM(F28:F29)</f>
        <v>376818.08791643492</v>
      </c>
      <c r="G30" s="46">
        <f>SUM(G28:G29)</f>
        <v>459341.24917013408</v>
      </c>
    </row>
    <row r="31" spans="2:7">
      <c r="B31" s="47"/>
    </row>
    <row r="32" spans="2:7">
      <c r="B32" s="40" t="s">
        <v>77</v>
      </c>
    </row>
    <row r="33" spans="1:7">
      <c r="B33" s="4"/>
      <c r="C33" s="41" t="s">
        <v>72</v>
      </c>
      <c r="D33" s="20" t="s">
        <v>73</v>
      </c>
      <c r="E33" s="20" t="s">
        <v>74</v>
      </c>
      <c r="F33" s="20" t="s">
        <v>75</v>
      </c>
      <c r="G33" s="20" t="s">
        <v>76</v>
      </c>
    </row>
    <row r="34" spans="1:7">
      <c r="B34" s="52" t="s">
        <v>78</v>
      </c>
      <c r="C34" s="45">
        <v>40800</v>
      </c>
      <c r="D34" s="45">
        <f t="shared" ref="D34:G39" si="0">C34*1.06</f>
        <v>43248</v>
      </c>
      <c r="E34" s="62">
        <f t="shared" si="0"/>
        <v>45842.880000000005</v>
      </c>
      <c r="F34" s="62">
        <f t="shared" si="0"/>
        <v>48593.452800000006</v>
      </c>
      <c r="G34" s="62">
        <f t="shared" si="0"/>
        <v>51509.059968000009</v>
      </c>
    </row>
    <row r="35" spans="1:7">
      <c r="B35" s="50" t="s">
        <v>79</v>
      </c>
      <c r="C35" s="51">
        <v>10200</v>
      </c>
      <c r="D35" s="51">
        <f t="shared" si="0"/>
        <v>10812</v>
      </c>
      <c r="E35" s="70">
        <f t="shared" si="0"/>
        <v>11460.720000000001</v>
      </c>
      <c r="F35" s="70">
        <f t="shared" si="0"/>
        <v>12148.363200000002</v>
      </c>
      <c r="G35" s="70">
        <f t="shared" si="0"/>
        <v>12877.264992000002</v>
      </c>
    </row>
    <row r="36" spans="1:7">
      <c r="B36" s="50" t="s">
        <v>80</v>
      </c>
      <c r="C36" s="51">
        <v>7200</v>
      </c>
      <c r="D36" s="56">
        <f t="shared" si="0"/>
        <v>7632</v>
      </c>
      <c r="E36" s="49">
        <f t="shared" si="0"/>
        <v>8089.92</v>
      </c>
      <c r="F36" s="49">
        <f t="shared" si="0"/>
        <v>8575.3152000000009</v>
      </c>
      <c r="G36" s="70">
        <f t="shared" si="0"/>
        <v>9089.8341120000023</v>
      </c>
    </row>
    <row r="37" spans="1:7">
      <c r="B37" s="50" t="s">
        <v>5</v>
      </c>
      <c r="C37" s="51">
        <v>4200</v>
      </c>
      <c r="D37" s="51">
        <f t="shared" si="0"/>
        <v>4452</v>
      </c>
      <c r="E37" s="70">
        <f t="shared" si="0"/>
        <v>4719.12</v>
      </c>
      <c r="F37" s="70">
        <f t="shared" si="0"/>
        <v>5002.2672000000002</v>
      </c>
      <c r="G37" s="70">
        <f t="shared" si="0"/>
        <v>5302.4032320000006</v>
      </c>
    </row>
    <row r="38" spans="1:7">
      <c r="B38" s="50" t="s">
        <v>82</v>
      </c>
      <c r="C38" s="51">
        <v>3240</v>
      </c>
      <c r="D38" s="70">
        <f t="shared" si="0"/>
        <v>3434.4</v>
      </c>
      <c r="E38" s="70">
        <f t="shared" si="0"/>
        <v>3640.4640000000004</v>
      </c>
      <c r="F38" s="70">
        <f t="shared" si="0"/>
        <v>3858.8918400000007</v>
      </c>
      <c r="G38" s="70">
        <f t="shared" si="0"/>
        <v>4090.4253504000008</v>
      </c>
    </row>
    <row r="39" spans="1:7">
      <c r="A39" s="18"/>
      <c r="B39" s="44" t="s">
        <v>83</v>
      </c>
      <c r="C39" s="42">
        <v>2400</v>
      </c>
      <c r="D39" s="53">
        <f t="shared" si="0"/>
        <v>2544</v>
      </c>
      <c r="E39" s="46">
        <f t="shared" si="0"/>
        <v>2696.6400000000003</v>
      </c>
      <c r="F39" s="46">
        <f t="shared" si="0"/>
        <v>2858.4384000000005</v>
      </c>
      <c r="G39" s="46">
        <f t="shared" si="0"/>
        <v>3029.9447040000005</v>
      </c>
    </row>
    <row r="40" spans="1:7">
      <c r="B40" s="42" t="s">
        <v>7</v>
      </c>
      <c r="C40" s="53">
        <f>SUM(C34:C39)</f>
        <v>68040</v>
      </c>
      <c r="D40" s="46">
        <f>SUM(D34:D39)</f>
        <v>72122.399999999994</v>
      </c>
      <c r="E40" s="46">
        <f>SUM(E34:E39)</f>
        <v>76449.744000000006</v>
      </c>
      <c r="F40" s="46">
        <f>SUM(F34:F39)</f>
        <v>81036.728640000001</v>
      </c>
      <c r="G40" s="46">
        <f>SUM(G34:G39)</f>
        <v>85898.932358399994</v>
      </c>
    </row>
    <row r="41" spans="1:7">
      <c r="B41" s="2" t="s">
        <v>153</v>
      </c>
    </row>
    <row r="42" spans="1:7">
      <c r="B42" s="61"/>
    </row>
    <row r="43" spans="1:7">
      <c r="B43" s="40" t="s">
        <v>86</v>
      </c>
    </row>
    <row r="44" spans="1:7">
      <c r="B44" s="4"/>
      <c r="C44" s="41" t="s">
        <v>72</v>
      </c>
      <c r="D44" s="20" t="s">
        <v>73</v>
      </c>
      <c r="E44" s="20" t="s">
        <v>74</v>
      </c>
      <c r="F44" s="20" t="s">
        <v>75</v>
      </c>
      <c r="G44" s="20" t="s">
        <v>76</v>
      </c>
    </row>
    <row r="45" spans="1:7">
      <c r="B45" s="59" t="s">
        <v>78</v>
      </c>
      <c r="C45" s="45">
        <v>18000</v>
      </c>
      <c r="D45" s="45">
        <f t="shared" ref="D45:G47" si="1">C45*1.06</f>
        <v>19080</v>
      </c>
      <c r="E45" s="62">
        <f t="shared" si="1"/>
        <v>20224.8</v>
      </c>
      <c r="F45" s="62">
        <f t="shared" si="1"/>
        <v>21438.288</v>
      </c>
      <c r="G45" s="62">
        <f t="shared" si="1"/>
        <v>22724.585280000003</v>
      </c>
    </row>
    <row r="46" spans="1:7">
      <c r="B46" s="64" t="s">
        <v>79</v>
      </c>
      <c r="C46" s="51">
        <v>4500</v>
      </c>
      <c r="D46" s="51">
        <f t="shared" si="1"/>
        <v>4770</v>
      </c>
      <c r="E46" s="70">
        <f t="shared" si="1"/>
        <v>5056.2</v>
      </c>
      <c r="F46" s="70">
        <f t="shared" si="1"/>
        <v>5359.5720000000001</v>
      </c>
      <c r="G46" s="70">
        <f t="shared" si="1"/>
        <v>5681.1463200000007</v>
      </c>
    </row>
    <row r="47" spans="1:7">
      <c r="B47" s="60" t="s">
        <v>87</v>
      </c>
      <c r="C47" s="53">
        <v>4200</v>
      </c>
      <c r="D47" s="53">
        <f t="shared" si="1"/>
        <v>4452</v>
      </c>
      <c r="E47" s="46">
        <f t="shared" si="1"/>
        <v>4719.12</v>
      </c>
      <c r="F47" s="46">
        <f t="shared" si="1"/>
        <v>5002.2672000000002</v>
      </c>
      <c r="G47" s="46">
        <f t="shared" si="1"/>
        <v>5302.4032320000006</v>
      </c>
    </row>
    <row r="48" spans="1:7">
      <c r="B48" s="4" t="s">
        <v>7</v>
      </c>
      <c r="C48" s="53">
        <f>SUM(C45:C47)</f>
        <v>26700</v>
      </c>
      <c r="D48" s="53">
        <f>SUM(D45:D47)</f>
        <v>28302</v>
      </c>
      <c r="E48" s="46">
        <f>SUM(E45:E47)</f>
        <v>30000.12</v>
      </c>
      <c r="F48" s="46">
        <f>SUM(F45:F47)</f>
        <v>31800.127200000003</v>
      </c>
      <c r="G48" s="46">
        <f>SUM(G45:G47)</f>
        <v>33708.134832000003</v>
      </c>
    </row>
    <row r="49" spans="2:8">
      <c r="B49" s="2" t="s">
        <v>154</v>
      </c>
    </row>
    <row r="51" spans="2:8">
      <c r="B51" s="40" t="s">
        <v>85</v>
      </c>
    </row>
    <row r="52" spans="2:8">
      <c r="B52" s="4"/>
      <c r="C52" s="41" t="s">
        <v>72</v>
      </c>
      <c r="D52" s="20" t="s">
        <v>73</v>
      </c>
      <c r="E52" s="20" t="s">
        <v>74</v>
      </c>
      <c r="F52" s="20" t="s">
        <v>75</v>
      </c>
      <c r="G52" s="20" t="s">
        <v>76</v>
      </c>
    </row>
    <row r="53" spans="2:8">
      <c r="B53" s="59" t="s">
        <v>91</v>
      </c>
      <c r="C53" s="45">
        <f>(Inversión!E4+Inversión!E5+Inversión!E6+Inversión!E8)/5</f>
        <v>458</v>
      </c>
      <c r="D53" s="45">
        <f t="shared" ref="D53:G54" si="2">C53</f>
        <v>458</v>
      </c>
      <c r="E53" s="45">
        <f t="shared" si="2"/>
        <v>458</v>
      </c>
      <c r="F53" s="45">
        <f t="shared" si="2"/>
        <v>458</v>
      </c>
      <c r="G53" s="45">
        <f t="shared" si="2"/>
        <v>458</v>
      </c>
    </row>
    <row r="54" spans="2:8">
      <c r="B54" s="44" t="s">
        <v>92</v>
      </c>
      <c r="C54" s="53">
        <f>Inversión!E7/5</f>
        <v>280</v>
      </c>
      <c r="D54" s="66">
        <f t="shared" si="2"/>
        <v>280</v>
      </c>
      <c r="E54" s="66">
        <f t="shared" si="2"/>
        <v>280</v>
      </c>
      <c r="F54" s="53">
        <f t="shared" si="2"/>
        <v>280</v>
      </c>
      <c r="G54" s="53">
        <f t="shared" si="2"/>
        <v>280</v>
      </c>
    </row>
    <row r="55" spans="2:8">
      <c r="B55" s="4" t="s">
        <v>7</v>
      </c>
      <c r="C55" s="53">
        <f>SUM(C53:C54)</f>
        <v>738</v>
      </c>
      <c r="D55" s="53">
        <f>SUM(D53:D54)</f>
        <v>738</v>
      </c>
      <c r="E55" s="53">
        <f>SUM(E53:E54)</f>
        <v>738</v>
      </c>
      <c r="F55" s="53">
        <f>SUM(F53:F54)</f>
        <v>738</v>
      </c>
      <c r="G55" s="53">
        <f>SUM(G53:G54)</f>
        <v>738</v>
      </c>
    </row>
    <row r="57" spans="2:8">
      <c r="B57" s="40" t="s">
        <v>117</v>
      </c>
    </row>
    <row r="58" spans="2:8">
      <c r="B58" s="4"/>
      <c r="C58" s="20" t="s">
        <v>93</v>
      </c>
      <c r="D58" s="20" t="s">
        <v>72</v>
      </c>
      <c r="E58" s="20" t="s">
        <v>73</v>
      </c>
      <c r="F58" s="20" t="s">
        <v>74</v>
      </c>
      <c r="G58" s="20" t="s">
        <v>75</v>
      </c>
      <c r="H58" s="20" t="s">
        <v>76</v>
      </c>
    </row>
    <row r="59" spans="2:8">
      <c r="B59" s="109" t="s">
        <v>112</v>
      </c>
      <c r="C59" s="54"/>
      <c r="D59" s="45"/>
      <c r="E59" s="54"/>
      <c r="F59" s="45"/>
      <c r="G59" s="63"/>
      <c r="H59" s="108"/>
    </row>
    <row r="60" spans="2:8">
      <c r="B60" s="67" t="s">
        <v>94</v>
      </c>
      <c r="C60" s="56"/>
      <c r="D60" s="51">
        <f>C8</f>
        <v>311040</v>
      </c>
      <c r="E60" s="49">
        <f>D8</f>
        <v>379157.76000000001</v>
      </c>
      <c r="F60" s="70">
        <f>E8</f>
        <v>462193.30944000004</v>
      </c>
      <c r="G60" s="80">
        <f>F8</f>
        <v>563413.64420735999</v>
      </c>
      <c r="H60" s="80">
        <f>G8</f>
        <v>686801.23228877177</v>
      </c>
    </row>
    <row r="61" spans="2:8">
      <c r="B61" s="67" t="s">
        <v>100</v>
      </c>
      <c r="C61" s="49">
        <f>Inversión!E37</f>
        <v>29838.620000000003</v>
      </c>
      <c r="D61" s="51"/>
      <c r="E61" s="49"/>
      <c r="F61" s="70"/>
      <c r="G61" s="80"/>
      <c r="H61" s="80"/>
    </row>
    <row r="62" spans="2:8">
      <c r="B62" s="110" t="s">
        <v>95</v>
      </c>
      <c r="C62" s="49">
        <f t="shared" ref="C62:H62" si="3">SUM(C60:C61)</f>
        <v>29838.620000000003</v>
      </c>
      <c r="D62" s="51">
        <f t="shared" si="3"/>
        <v>311040</v>
      </c>
      <c r="E62" s="49">
        <f t="shared" si="3"/>
        <v>379157.76000000001</v>
      </c>
      <c r="F62" s="70">
        <f t="shared" si="3"/>
        <v>462193.30944000004</v>
      </c>
      <c r="G62" s="80">
        <f t="shared" si="3"/>
        <v>563413.64420735999</v>
      </c>
      <c r="H62" s="80">
        <f t="shared" si="3"/>
        <v>686801.23228877177</v>
      </c>
    </row>
    <row r="63" spans="2:8">
      <c r="B63" s="67"/>
      <c r="C63" s="56"/>
      <c r="D63" s="51"/>
      <c r="E63" s="56"/>
      <c r="F63" s="51"/>
      <c r="G63" s="55"/>
      <c r="H63" s="105"/>
    </row>
    <row r="64" spans="2:8">
      <c r="B64" s="111" t="s">
        <v>113</v>
      </c>
      <c r="C64" s="56"/>
      <c r="D64" s="51"/>
      <c r="E64" s="56"/>
      <c r="F64" s="51"/>
      <c r="G64" s="55"/>
      <c r="H64" s="105"/>
    </row>
    <row r="65" spans="2:8">
      <c r="B65" s="110" t="s">
        <v>101</v>
      </c>
      <c r="C65" s="49">
        <f>C61</f>
        <v>29838.620000000003</v>
      </c>
      <c r="D65" s="51"/>
      <c r="E65" s="56"/>
      <c r="F65" s="51"/>
      <c r="G65" s="55"/>
      <c r="H65" s="105"/>
    </row>
    <row r="66" spans="2:8">
      <c r="B66" s="64" t="s">
        <v>96</v>
      </c>
      <c r="C66" s="56"/>
      <c r="D66" s="70">
        <f>C16</f>
        <v>120158.64</v>
      </c>
      <c r="E66" s="49">
        <f>D16</f>
        <v>146473.38216000001</v>
      </c>
      <c r="F66" s="70">
        <f>E16</f>
        <v>178551.05285303999</v>
      </c>
      <c r="G66" s="80">
        <f>F16</f>
        <v>217653.73342785574</v>
      </c>
      <c r="H66" s="80">
        <f>G16</f>
        <v>265319.90104855609</v>
      </c>
    </row>
    <row r="67" spans="2:8">
      <c r="B67" s="64" t="s">
        <v>90</v>
      </c>
      <c r="C67" s="56"/>
      <c r="D67" s="70">
        <f>C23</f>
        <v>87868.799999999988</v>
      </c>
      <c r="E67" s="49">
        <f>D23</f>
        <v>107112.06719999999</v>
      </c>
      <c r="F67" s="70">
        <f>E23</f>
        <v>130569.60991679999</v>
      </c>
      <c r="G67" s="80">
        <f>F23</f>
        <v>159164.35448857918</v>
      </c>
      <c r="H67" s="80">
        <f>G23</f>
        <v>194021.34812157802</v>
      </c>
    </row>
    <row r="68" spans="2:8">
      <c r="B68" s="67" t="s">
        <v>98</v>
      </c>
      <c r="C68" s="56"/>
      <c r="D68" s="51">
        <f>C40</f>
        <v>68040</v>
      </c>
      <c r="E68" s="49">
        <f>D40</f>
        <v>72122.399999999994</v>
      </c>
      <c r="F68" s="70">
        <f>E40</f>
        <v>76449.744000000006</v>
      </c>
      <c r="G68" s="80">
        <f>F40</f>
        <v>81036.728640000001</v>
      </c>
      <c r="H68" s="80">
        <f>G40</f>
        <v>85898.932358399994</v>
      </c>
    </row>
    <row r="69" spans="2:8">
      <c r="B69" s="67" t="s">
        <v>97</v>
      </c>
      <c r="C69" s="56"/>
      <c r="D69" s="51">
        <f>C48</f>
        <v>26700</v>
      </c>
      <c r="E69" s="56">
        <f>D48</f>
        <v>28302</v>
      </c>
      <c r="F69" s="70">
        <f>E48</f>
        <v>30000.12</v>
      </c>
      <c r="G69" s="80">
        <f>F48</f>
        <v>31800.127200000003</v>
      </c>
      <c r="H69" s="80">
        <f>G48</f>
        <v>33708.134832000003</v>
      </c>
    </row>
    <row r="70" spans="2:8">
      <c r="B70" s="67" t="s">
        <v>85</v>
      </c>
      <c r="C70" s="56"/>
      <c r="D70" s="51">
        <f>C55</f>
        <v>738</v>
      </c>
      <c r="E70" s="56">
        <f>D55</f>
        <v>738</v>
      </c>
      <c r="F70" s="51">
        <f>E55</f>
        <v>738</v>
      </c>
      <c r="G70" s="55">
        <f>F55</f>
        <v>738</v>
      </c>
      <c r="H70" s="55">
        <f>G55</f>
        <v>738</v>
      </c>
    </row>
    <row r="71" spans="2:8">
      <c r="B71" s="64" t="s">
        <v>109</v>
      </c>
      <c r="C71" s="56"/>
      <c r="D71" s="70">
        <f>C99</f>
        <v>1540.3679999999993</v>
      </c>
      <c r="E71" s="49">
        <f>D99</f>
        <v>6746.9731920000049</v>
      </c>
      <c r="F71" s="70">
        <f>E99</f>
        <v>13333.434801048017</v>
      </c>
      <c r="G71" s="80">
        <f>F99</f>
        <v>21618.210135277521</v>
      </c>
      <c r="H71" s="80">
        <f>G99</f>
        <v>31990.474778471307</v>
      </c>
    </row>
    <row r="72" spans="2:8">
      <c r="B72" s="64"/>
      <c r="C72" s="56"/>
      <c r="D72" s="70"/>
      <c r="E72" s="49"/>
      <c r="F72" s="70"/>
      <c r="G72" s="80"/>
      <c r="H72" s="80"/>
    </row>
    <row r="73" spans="2:8">
      <c r="B73" s="110" t="s">
        <v>99</v>
      </c>
      <c r="C73" s="49">
        <f>SUM(C65:C70)</f>
        <v>29838.620000000003</v>
      </c>
      <c r="D73" s="70">
        <f>SUM(D65:D71)</f>
        <v>305045.80800000002</v>
      </c>
      <c r="E73" s="49">
        <f>SUM(E65:E71)</f>
        <v>361494.822552</v>
      </c>
      <c r="F73" s="70">
        <f>SUM(F65:F71)</f>
        <v>429641.961570888</v>
      </c>
      <c r="G73" s="80">
        <f>SUM(G65:G71)</f>
        <v>512011.15389171243</v>
      </c>
      <c r="H73" s="80">
        <f>SUM(H65:H71)</f>
        <v>611676.79113900533</v>
      </c>
    </row>
    <row r="74" spans="2:8">
      <c r="B74" s="67"/>
      <c r="C74" s="56"/>
      <c r="D74" s="51"/>
      <c r="E74" s="56"/>
      <c r="F74" s="51"/>
      <c r="G74" s="55"/>
      <c r="H74" s="55"/>
    </row>
    <row r="75" spans="2:8">
      <c r="B75" s="64" t="s">
        <v>186</v>
      </c>
      <c r="C75" s="56">
        <f t="shared" ref="C75:H75" si="4">C62-C73</f>
        <v>0</v>
      </c>
      <c r="D75" s="70">
        <f t="shared" si="4"/>
        <v>5994.1919999999809</v>
      </c>
      <c r="E75" s="49">
        <f t="shared" si="4"/>
        <v>17662.937448000011</v>
      </c>
      <c r="F75" s="70">
        <f t="shared" si="4"/>
        <v>32551.34786911204</v>
      </c>
      <c r="G75" s="80">
        <f t="shared" si="4"/>
        <v>51402.490315647563</v>
      </c>
      <c r="H75" s="80">
        <f t="shared" si="4"/>
        <v>75124.441149766441</v>
      </c>
    </row>
    <row r="76" spans="2:8">
      <c r="B76" s="112" t="s">
        <v>115</v>
      </c>
      <c r="C76" s="50"/>
      <c r="D76" s="51">
        <f>D70</f>
        <v>738</v>
      </c>
      <c r="E76" s="56">
        <f>E70</f>
        <v>738</v>
      </c>
      <c r="F76" s="51">
        <f>F70</f>
        <v>738</v>
      </c>
      <c r="G76" s="55">
        <f>G70</f>
        <v>738</v>
      </c>
      <c r="H76" s="55">
        <f>H70</f>
        <v>738</v>
      </c>
    </row>
    <row r="77" spans="2:8">
      <c r="B77" s="112" t="s">
        <v>118</v>
      </c>
      <c r="C77" s="49">
        <f>C65</f>
        <v>29838.620000000003</v>
      </c>
      <c r="D77" s="51"/>
      <c r="E77" s="56"/>
      <c r="F77" s="51"/>
      <c r="G77" s="55"/>
      <c r="H77" s="105"/>
    </row>
    <row r="78" spans="2:8">
      <c r="B78" s="112"/>
      <c r="C78" s="49"/>
      <c r="D78" s="51"/>
      <c r="E78" s="56"/>
      <c r="F78" s="51"/>
      <c r="G78" s="55"/>
      <c r="H78" s="105"/>
    </row>
    <row r="79" spans="2:8">
      <c r="B79" s="113" t="s">
        <v>185</v>
      </c>
      <c r="C79" s="49">
        <f>C75-C77</f>
        <v>-29838.620000000003</v>
      </c>
      <c r="D79" s="70">
        <f>D75+D76</f>
        <v>6732.1919999999809</v>
      </c>
      <c r="E79" s="49">
        <f>E75+E76</f>
        <v>18400.937448000011</v>
      </c>
      <c r="F79" s="70">
        <f>F75+F76</f>
        <v>33289.34786911204</v>
      </c>
      <c r="G79" s="80">
        <f>G75+G76</f>
        <v>52140.490315647563</v>
      </c>
      <c r="H79" s="80">
        <f>H75+H76</f>
        <v>75862.441149766441</v>
      </c>
    </row>
    <row r="80" spans="2:8">
      <c r="B80" s="112" t="s">
        <v>119</v>
      </c>
      <c r="C80" s="56">
        <v>10000</v>
      </c>
      <c r="D80" s="70"/>
      <c r="E80" s="49"/>
      <c r="F80" s="70"/>
      <c r="G80" s="80"/>
      <c r="H80" s="80"/>
    </row>
    <row r="81" spans="2:8">
      <c r="B81" s="113" t="s">
        <v>188</v>
      </c>
      <c r="C81" s="49"/>
      <c r="D81" s="51">
        <f>'Pago de la deuda'!E8</f>
        <v>2000</v>
      </c>
      <c r="E81" s="56">
        <f>'Pago de la deuda'!E9</f>
        <v>2000</v>
      </c>
      <c r="F81" s="51">
        <f>'Pago de la deuda'!E10</f>
        <v>2000</v>
      </c>
      <c r="G81" s="55">
        <f>'Pago de la deuda'!E11</f>
        <v>2000</v>
      </c>
      <c r="H81" s="55">
        <f>'Pago de la deuda'!E12</f>
        <v>2000</v>
      </c>
    </row>
    <row r="82" spans="2:8">
      <c r="B82" s="112" t="s">
        <v>187</v>
      </c>
      <c r="C82" s="49"/>
      <c r="D82" s="51">
        <f>'Pago de la deuda'!F8</f>
        <v>2400</v>
      </c>
      <c r="E82" s="56">
        <f>'Pago de la deuda'!F9</f>
        <v>1920</v>
      </c>
      <c r="F82" s="51">
        <f>'Pago de la deuda'!F10</f>
        <v>1440</v>
      </c>
      <c r="G82" s="55">
        <f>'Pago de la deuda'!F11</f>
        <v>960</v>
      </c>
      <c r="H82" s="55">
        <f>'Pago de la deuda'!F12</f>
        <v>480</v>
      </c>
    </row>
    <row r="83" spans="2:8">
      <c r="B83" s="104" t="s">
        <v>189</v>
      </c>
      <c r="C83" s="106">
        <f>C79+C80</f>
        <v>-19838.620000000003</v>
      </c>
      <c r="D83" s="46">
        <f>D79-D81-D82</f>
        <v>2332.1919999999809</v>
      </c>
      <c r="E83" s="106">
        <f>E79-E81-E82</f>
        <v>14480.937448000011</v>
      </c>
      <c r="F83" s="46">
        <f>F79-F81-F82</f>
        <v>29849.34786911204</v>
      </c>
      <c r="G83" s="107">
        <f>G79-G81-G82</f>
        <v>49180.490315647563</v>
      </c>
      <c r="H83" s="107">
        <f>H79-H81-H82</f>
        <v>73382.441149766441</v>
      </c>
    </row>
    <row r="84" spans="2:8">
      <c r="B84" s="16"/>
      <c r="C84" s="69"/>
      <c r="D84" s="71"/>
      <c r="E84" s="71"/>
      <c r="F84" s="71"/>
      <c r="G84" s="71"/>
      <c r="H84" s="71"/>
    </row>
    <row r="85" spans="2:8">
      <c r="B85" s="1" t="s">
        <v>102</v>
      </c>
    </row>
    <row r="86" spans="2:8">
      <c r="B86" s="4"/>
      <c r="C86" s="41" t="s">
        <v>72</v>
      </c>
      <c r="D86" s="20" t="s">
        <v>73</v>
      </c>
      <c r="E86" s="20" t="s">
        <v>74</v>
      </c>
      <c r="F86" s="20" t="s">
        <v>75</v>
      </c>
      <c r="G86" s="20" t="s">
        <v>76</v>
      </c>
    </row>
    <row r="87" spans="2:8">
      <c r="B87" s="52" t="s">
        <v>94</v>
      </c>
      <c r="C87" s="45">
        <f>C8</f>
        <v>311040</v>
      </c>
      <c r="D87" s="62">
        <f>D8</f>
        <v>379157.76000000001</v>
      </c>
      <c r="E87" s="62">
        <f>E8</f>
        <v>462193.30944000004</v>
      </c>
      <c r="F87" s="62">
        <f>F8</f>
        <v>563413.64420735999</v>
      </c>
      <c r="G87" s="62">
        <f>G8</f>
        <v>686801.23228877177</v>
      </c>
    </row>
    <row r="88" spans="2:8">
      <c r="B88" s="67" t="s">
        <v>103</v>
      </c>
      <c r="C88" s="70">
        <f>C30</f>
        <v>208027.44</v>
      </c>
      <c r="D88" s="70">
        <f>D30</f>
        <v>253585.44936</v>
      </c>
      <c r="E88" s="70">
        <f>E30</f>
        <v>309120.66276983998</v>
      </c>
      <c r="F88" s="70">
        <f>F30</f>
        <v>376818.08791643492</v>
      </c>
      <c r="G88" s="70">
        <f>G30</f>
        <v>459341.24917013408</v>
      </c>
    </row>
    <row r="89" spans="2:8">
      <c r="B89" s="67" t="s">
        <v>104</v>
      </c>
      <c r="C89" s="70">
        <f>C87-C88</f>
        <v>103012.56</v>
      </c>
      <c r="D89" s="70">
        <f>D87-D88</f>
        <v>125572.31064000001</v>
      </c>
      <c r="E89" s="70">
        <f>E87-E88</f>
        <v>153072.64667016006</v>
      </c>
      <c r="F89" s="70">
        <f>F87-F88</f>
        <v>186595.55629092507</v>
      </c>
      <c r="G89" s="70">
        <f>G87-G88</f>
        <v>227459.9831186377</v>
      </c>
    </row>
    <row r="90" spans="2:8">
      <c r="B90" s="67"/>
      <c r="C90" s="70"/>
      <c r="D90" s="70"/>
      <c r="E90" s="70"/>
      <c r="F90" s="70"/>
      <c r="G90" s="70"/>
    </row>
    <row r="91" spans="2:8">
      <c r="B91" s="67" t="s">
        <v>105</v>
      </c>
      <c r="C91" s="51">
        <f>C40</f>
        <v>68040</v>
      </c>
      <c r="D91" s="70">
        <f>D40</f>
        <v>72122.399999999994</v>
      </c>
      <c r="E91" s="70">
        <f>E40</f>
        <v>76449.744000000006</v>
      </c>
      <c r="F91" s="70">
        <f>F40</f>
        <v>81036.728640000001</v>
      </c>
      <c r="G91" s="70">
        <f>G40</f>
        <v>85898.932358399994</v>
      </c>
    </row>
    <row r="92" spans="2:8">
      <c r="B92" s="67" t="s">
        <v>106</v>
      </c>
      <c r="C92" s="51">
        <f>C48</f>
        <v>26700</v>
      </c>
      <c r="D92" s="51">
        <f>D48</f>
        <v>28302</v>
      </c>
      <c r="E92" s="70">
        <f>E48</f>
        <v>30000.12</v>
      </c>
      <c r="F92" s="70">
        <f>F48</f>
        <v>31800.127200000003</v>
      </c>
      <c r="G92" s="70">
        <f>G48</f>
        <v>33708.134832000003</v>
      </c>
    </row>
    <row r="93" spans="2:8">
      <c r="B93" s="67" t="s">
        <v>85</v>
      </c>
      <c r="C93" s="51">
        <f>C55</f>
        <v>738</v>
      </c>
      <c r="D93" s="51">
        <f>D55</f>
        <v>738</v>
      </c>
      <c r="E93" s="51">
        <f>E55</f>
        <v>738</v>
      </c>
      <c r="F93" s="51">
        <f>F55</f>
        <v>738</v>
      </c>
      <c r="G93" s="51">
        <f>G55</f>
        <v>738</v>
      </c>
    </row>
    <row r="94" spans="2:8">
      <c r="B94" s="67" t="s">
        <v>107</v>
      </c>
      <c r="C94" s="70">
        <f>C89-C91-C92-C93</f>
        <v>7534.5599999999977</v>
      </c>
      <c r="D94" s="70">
        <f>D89-D91-D92-D93</f>
        <v>24409.910640000016</v>
      </c>
      <c r="E94" s="70">
        <f>E89-E91-E92-E93</f>
        <v>45884.782670160057</v>
      </c>
      <c r="F94" s="70">
        <f>F89-F91-F92-F93</f>
        <v>73020.700450925069</v>
      </c>
      <c r="G94" s="70">
        <f>G89-G91-G92-G93</f>
        <v>107114.91592823769</v>
      </c>
    </row>
    <row r="95" spans="2:8">
      <c r="B95" s="67"/>
      <c r="C95" s="70"/>
      <c r="D95" s="49"/>
      <c r="E95" s="70"/>
      <c r="F95" s="49"/>
      <c r="G95" s="70"/>
    </row>
    <row r="96" spans="2:8">
      <c r="B96" s="64" t="s">
        <v>68</v>
      </c>
      <c r="C96" s="51">
        <f>'Pago de la deuda'!F8</f>
        <v>2400</v>
      </c>
      <c r="D96" s="56">
        <f>'Pago de la deuda'!F9</f>
        <v>1920</v>
      </c>
      <c r="E96" s="51">
        <f>'Pago de la deuda'!F10</f>
        <v>1440</v>
      </c>
      <c r="F96" s="56">
        <f>'Pago de la deuda'!F11</f>
        <v>960</v>
      </c>
      <c r="G96" s="51">
        <f>'Pago de la deuda'!F12</f>
        <v>480</v>
      </c>
    </row>
    <row r="97" spans="2:7">
      <c r="B97" s="64" t="s">
        <v>108</v>
      </c>
      <c r="C97" s="70">
        <f>C94-C96</f>
        <v>5134.5599999999977</v>
      </c>
      <c r="D97" s="70">
        <f>D94-D96</f>
        <v>22489.910640000016</v>
      </c>
      <c r="E97" s="70">
        <f>E94-E96</f>
        <v>44444.782670160057</v>
      </c>
      <c r="F97" s="70">
        <f>F94-F96</f>
        <v>72060.700450925069</v>
      </c>
      <c r="G97" s="70">
        <f>G94-G96</f>
        <v>106634.91592823769</v>
      </c>
    </row>
    <row r="98" spans="2:7">
      <c r="B98" s="64"/>
      <c r="C98" s="51"/>
      <c r="D98" s="51"/>
      <c r="E98" s="51"/>
      <c r="F98" s="51"/>
      <c r="G98" s="51"/>
    </row>
    <row r="99" spans="2:7">
      <c r="B99" s="67" t="s">
        <v>109</v>
      </c>
      <c r="C99" s="70">
        <f>C97*0.3</f>
        <v>1540.3679999999993</v>
      </c>
      <c r="D99" s="70">
        <f>D97*0.3</f>
        <v>6746.9731920000049</v>
      </c>
      <c r="E99" s="70">
        <f>E97*0.3</f>
        <v>13333.434801048017</v>
      </c>
      <c r="F99" s="70">
        <f>F97*0.3</f>
        <v>21618.210135277521</v>
      </c>
      <c r="G99" s="70">
        <f>G97*0.3</f>
        <v>31990.474778471307</v>
      </c>
    </row>
    <row r="100" spans="2:7">
      <c r="B100" s="4" t="s">
        <v>110</v>
      </c>
      <c r="C100" s="17">
        <f>C97-C99</f>
        <v>3594.1919999999982</v>
      </c>
      <c r="D100" s="17">
        <f>D97-D99</f>
        <v>15742.937448000011</v>
      </c>
      <c r="E100" s="17">
        <f>E97-E99</f>
        <v>31111.34786911204</v>
      </c>
      <c r="F100" s="17">
        <f>F97-F99</f>
        <v>50442.490315647548</v>
      </c>
      <c r="G100" s="17">
        <f>G97-G99</f>
        <v>74644.441149766382</v>
      </c>
    </row>
  </sheetData>
  <phoneticPr fontId="4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3:H34"/>
  <sheetViews>
    <sheetView topLeftCell="A22" workbookViewId="0">
      <selection activeCell="F40" sqref="F40"/>
    </sheetView>
  </sheetViews>
  <sheetFormatPr baseColWidth="10" defaultRowHeight="12.75"/>
  <cols>
    <col min="1" max="1" width="15.28515625" customWidth="1"/>
    <col min="2" max="2" width="23" customWidth="1"/>
    <col min="3" max="3" width="12.7109375" bestFit="1" customWidth="1"/>
  </cols>
  <sheetData>
    <row r="3" spans="2:8">
      <c r="B3" s="1" t="s">
        <v>120</v>
      </c>
    </row>
    <row r="5" spans="2:8">
      <c r="B5" s="1" t="s">
        <v>114</v>
      </c>
    </row>
    <row r="6" spans="2:8">
      <c r="B6" s="75"/>
      <c r="C6" s="20" t="s">
        <v>93</v>
      </c>
      <c r="D6" s="76" t="s">
        <v>72</v>
      </c>
      <c r="E6" s="76" t="s">
        <v>73</v>
      </c>
      <c r="F6" s="76" t="s">
        <v>74</v>
      </c>
      <c r="G6" s="76" t="s">
        <v>75</v>
      </c>
      <c r="H6" s="76" t="s">
        <v>76</v>
      </c>
    </row>
    <row r="7" spans="2:8">
      <c r="B7" s="74" t="s">
        <v>114</v>
      </c>
      <c r="C7" s="73">
        <f>Presupuestos!C79</f>
        <v>-29838.620000000003</v>
      </c>
      <c r="D7" s="73">
        <f>Presupuestos!D79</f>
        <v>6732.1919999999809</v>
      </c>
      <c r="E7" s="73">
        <f>Presupuestos!E79</f>
        <v>18400.937448000011</v>
      </c>
      <c r="F7" s="73">
        <f>Presupuestos!F79</f>
        <v>33289.34786911204</v>
      </c>
      <c r="G7" s="73">
        <f>Presupuestos!G79</f>
        <v>52140.490315647563</v>
      </c>
      <c r="H7" s="17">
        <f>Presupuestos!H79</f>
        <v>75862.441149766441</v>
      </c>
    </row>
    <row r="9" spans="2:8">
      <c r="B9" t="s">
        <v>101</v>
      </c>
      <c r="C9" s="18">
        <f>-C7</f>
        <v>29838.620000000003</v>
      </c>
    </row>
    <row r="10" spans="2:8">
      <c r="B10" t="s">
        <v>121</v>
      </c>
      <c r="C10" s="37">
        <v>0.1</v>
      </c>
    </row>
    <row r="11" spans="2:8">
      <c r="B11" t="s">
        <v>111</v>
      </c>
      <c r="C11" s="18">
        <f>NPV(C10,D7:H7)</f>
        <v>129055.60441667064</v>
      </c>
    </row>
    <row r="12" spans="2:8">
      <c r="B12" t="s">
        <v>122</v>
      </c>
      <c r="C12" s="18">
        <f>C11-C9</f>
        <v>99216.984416670632</v>
      </c>
    </row>
    <row r="13" spans="2:8">
      <c r="B13" t="s">
        <v>123</v>
      </c>
      <c r="C13" s="87">
        <f>IRR(C7:H7)</f>
        <v>0.67860591553315996</v>
      </c>
    </row>
    <row r="14" spans="2:8">
      <c r="B14" t="s">
        <v>124</v>
      </c>
      <c r="C14" s="86" t="s">
        <v>156</v>
      </c>
    </row>
    <row r="15" spans="2:8">
      <c r="C15" s="86"/>
    </row>
    <row r="16" spans="2:8">
      <c r="B16" s="1" t="s">
        <v>161</v>
      </c>
      <c r="C16" s="86"/>
    </row>
    <row r="17" spans="2:8">
      <c r="B17" s="2" t="s">
        <v>163</v>
      </c>
      <c r="C17" s="86"/>
    </row>
    <row r="18" spans="2:8">
      <c r="C18" s="86"/>
    </row>
    <row r="19" spans="2:8">
      <c r="B19" s="4"/>
      <c r="C19" s="20" t="s">
        <v>72</v>
      </c>
      <c r="D19" s="20" t="s">
        <v>73</v>
      </c>
      <c r="E19" s="20" t="s">
        <v>74</v>
      </c>
      <c r="F19" s="20" t="s">
        <v>75</v>
      </c>
      <c r="G19" s="20" t="s">
        <v>76</v>
      </c>
    </row>
    <row r="20" spans="2:8">
      <c r="B20" s="4" t="s">
        <v>162</v>
      </c>
      <c r="C20" s="88">
        <f>Presupuestos!C100/Presupuestos!C87</f>
        <v>1.1555401234567896E-2</v>
      </c>
      <c r="D20" s="88">
        <f>Presupuestos!D100/Presupuestos!D87</f>
        <v>4.1520810356090329E-2</v>
      </c>
      <c r="E20" s="88">
        <f>Presupuestos!E100/Presupuestos!E87</f>
        <v>6.7312415029994674E-2</v>
      </c>
      <c r="F20" s="88">
        <f>Presupuestos!F100/Presupuestos!F87</f>
        <v>8.9530118473812786E-2</v>
      </c>
      <c r="G20" s="88">
        <f>Presupuestos!G100/Presupuestos!G87</f>
        <v>0.10868419804812093</v>
      </c>
    </row>
    <row r="21" spans="2:8">
      <c r="C21" s="86"/>
    </row>
    <row r="23" spans="2:8">
      <c r="B23" s="1" t="s">
        <v>125</v>
      </c>
    </row>
    <row r="24" spans="2:8">
      <c r="B24" s="1"/>
    </row>
    <row r="25" spans="2:8">
      <c r="B25" s="77" t="s">
        <v>116</v>
      </c>
      <c r="C25" s="69"/>
      <c r="D25" s="71"/>
      <c r="E25" s="71"/>
      <c r="F25" s="71"/>
      <c r="G25" s="71"/>
      <c r="H25" s="71"/>
    </row>
    <row r="26" spans="2:8">
      <c r="B26" s="78"/>
      <c r="C26" s="20" t="s">
        <v>93</v>
      </c>
      <c r="D26" s="76" t="s">
        <v>72</v>
      </c>
      <c r="E26" s="76" t="s">
        <v>73</v>
      </c>
      <c r="F26" s="76" t="s">
        <v>74</v>
      </c>
      <c r="G26" s="76" t="s">
        <v>75</v>
      </c>
      <c r="H26" s="76" t="s">
        <v>76</v>
      </c>
    </row>
    <row r="27" spans="2:8">
      <c r="B27" s="79" t="s">
        <v>116</v>
      </c>
      <c r="C27" s="17">
        <f>Presupuestos!C83</f>
        <v>-19838.620000000003</v>
      </c>
      <c r="D27" s="17">
        <f>Presupuestos!D83</f>
        <v>2332.1919999999809</v>
      </c>
      <c r="E27" s="17">
        <f>Presupuestos!E83</f>
        <v>14480.937448000011</v>
      </c>
      <c r="F27" s="17">
        <f>Presupuestos!F83</f>
        <v>29849.34786911204</v>
      </c>
      <c r="G27" s="17">
        <f>Presupuestos!G83</f>
        <v>49180.490315647563</v>
      </c>
      <c r="H27" s="17">
        <f>Presupuestos!H83</f>
        <v>73382.441149766441</v>
      </c>
    </row>
    <row r="29" spans="2:8">
      <c r="B29" t="s">
        <v>101</v>
      </c>
      <c r="C29" s="18">
        <f>-C27</f>
        <v>19838.620000000003</v>
      </c>
    </row>
    <row r="30" spans="2:8">
      <c r="B30" t="s">
        <v>121</v>
      </c>
      <c r="C30" s="37">
        <v>0.1</v>
      </c>
    </row>
    <row r="31" spans="2:8">
      <c r="B31" t="s">
        <v>111</v>
      </c>
      <c r="C31" s="18">
        <f>NPV(C30,D27:H27)</f>
        <v>115669.80737101431</v>
      </c>
    </row>
    <row r="32" spans="2:8">
      <c r="B32" s="2" t="s">
        <v>126</v>
      </c>
      <c r="C32" s="18">
        <f>C31-C29</f>
        <v>95831.187371014297</v>
      </c>
    </row>
    <row r="33" spans="2:3">
      <c r="B33" s="2" t="s">
        <v>127</v>
      </c>
      <c r="C33" s="87">
        <f>IRR(C27:H27)</f>
        <v>0.78923061821113527</v>
      </c>
    </row>
    <row r="34" spans="2:3">
      <c r="C34" s="81"/>
    </row>
  </sheetData>
  <phoneticPr fontId="4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C3:G35"/>
  <sheetViews>
    <sheetView workbookViewId="0">
      <selection activeCell="B13" sqref="B13"/>
    </sheetView>
  </sheetViews>
  <sheetFormatPr baseColWidth="10" defaultRowHeight="12.75"/>
  <cols>
    <col min="3" max="3" width="20.85546875" customWidth="1"/>
  </cols>
  <sheetData>
    <row r="3" spans="3:7">
      <c r="C3" s="1" t="s">
        <v>183</v>
      </c>
    </row>
    <row r="4" spans="3:7">
      <c r="C4" s="89" t="s">
        <v>164</v>
      </c>
      <c r="D4" s="68"/>
      <c r="E4" s="90" t="s">
        <v>165</v>
      </c>
      <c r="F4" s="91"/>
      <c r="G4" s="68"/>
    </row>
    <row r="5" spans="3:7">
      <c r="C5" s="102"/>
      <c r="D5" s="57"/>
      <c r="E5" s="103"/>
      <c r="F5" s="16"/>
      <c r="G5" s="57"/>
    </row>
    <row r="6" spans="3:7">
      <c r="C6" s="92" t="s">
        <v>166</v>
      </c>
      <c r="D6" s="57"/>
      <c r="E6" s="93" t="s">
        <v>167</v>
      </c>
      <c r="F6" s="16"/>
      <c r="G6" s="57"/>
    </row>
    <row r="7" spans="3:7">
      <c r="C7" s="57" t="s">
        <v>168</v>
      </c>
      <c r="D7" s="70">
        <f>Inversión!E30</f>
        <v>23907.620000000003</v>
      </c>
      <c r="E7" s="50" t="s">
        <v>169</v>
      </c>
      <c r="F7" s="16"/>
      <c r="G7" s="51">
        <v>0</v>
      </c>
    </row>
    <row r="8" spans="3:7">
      <c r="C8" s="57" t="s">
        <v>170</v>
      </c>
      <c r="D8" s="70">
        <f>SUM(D7)</f>
        <v>23907.620000000003</v>
      </c>
      <c r="G8" s="57"/>
    </row>
    <row r="9" spans="3:7">
      <c r="C9" s="57"/>
      <c r="D9" s="57"/>
      <c r="E9" s="94" t="s">
        <v>171</v>
      </c>
      <c r="F9" s="16"/>
      <c r="G9" s="51"/>
    </row>
    <row r="10" spans="3:7">
      <c r="C10" s="57"/>
      <c r="D10" s="70"/>
      <c r="E10" t="s">
        <v>172</v>
      </c>
      <c r="G10" s="57">
        <v>10000</v>
      </c>
    </row>
    <row r="11" spans="3:7">
      <c r="C11" s="92" t="s">
        <v>173</v>
      </c>
      <c r="D11" s="57"/>
      <c r="E11" s="50" t="s">
        <v>169</v>
      </c>
      <c r="G11" s="57">
        <f>SUM(G10)</f>
        <v>10000</v>
      </c>
    </row>
    <row r="12" spans="3:7">
      <c r="C12" s="95" t="s">
        <v>174</v>
      </c>
      <c r="D12" s="96">
        <f>Inversión!E9</f>
        <v>3690</v>
      </c>
      <c r="G12" s="57"/>
    </row>
    <row r="13" spans="3:7">
      <c r="C13" s="97" t="s">
        <v>175</v>
      </c>
      <c r="D13" s="96">
        <f>Inversión!E18</f>
        <v>2241</v>
      </c>
      <c r="E13" s="94" t="s">
        <v>176</v>
      </c>
      <c r="F13" s="16"/>
      <c r="G13" s="51"/>
    </row>
    <row r="14" spans="3:7">
      <c r="C14" s="57" t="s">
        <v>177</v>
      </c>
      <c r="D14" s="96">
        <f>D12+D13</f>
        <v>5931</v>
      </c>
      <c r="E14" s="98" t="s">
        <v>66</v>
      </c>
      <c r="G14" s="70">
        <f>Inversión!E37-Balance!G10</f>
        <v>19838.620000000003</v>
      </c>
    </row>
    <row r="15" spans="3:7">
      <c r="C15" s="57"/>
      <c r="D15" s="51"/>
      <c r="E15" s="50" t="s">
        <v>178</v>
      </c>
      <c r="F15" s="16"/>
      <c r="G15" s="70">
        <f>SUM(G14)</f>
        <v>19838.620000000003</v>
      </c>
    </row>
    <row r="16" spans="3:7">
      <c r="C16" s="42"/>
      <c r="D16" s="51"/>
      <c r="G16" s="57"/>
    </row>
    <row r="17" spans="3:7">
      <c r="C17" s="58" t="s">
        <v>179</v>
      </c>
      <c r="D17" s="17">
        <f>D8+D14</f>
        <v>29838.620000000003</v>
      </c>
      <c r="E17" s="58" t="s">
        <v>180</v>
      </c>
      <c r="F17" s="99"/>
      <c r="G17" s="17">
        <f>G10+G15</f>
        <v>29838.620000000003</v>
      </c>
    </row>
    <row r="20" spans="3:7">
      <c r="C20" s="40" t="s">
        <v>184</v>
      </c>
    </row>
    <row r="21" spans="3:7">
      <c r="C21" s="90" t="s">
        <v>164</v>
      </c>
      <c r="D21" s="68"/>
      <c r="E21" s="90" t="s">
        <v>165</v>
      </c>
      <c r="F21" s="91"/>
      <c r="G21" s="68"/>
    </row>
    <row r="22" spans="3:7">
      <c r="C22" s="103"/>
      <c r="D22" s="57"/>
      <c r="E22" s="103"/>
      <c r="F22" s="16"/>
      <c r="G22" s="57"/>
    </row>
    <row r="23" spans="3:7">
      <c r="C23" s="94" t="s">
        <v>166</v>
      </c>
      <c r="D23" s="57"/>
      <c r="E23" s="93" t="s">
        <v>167</v>
      </c>
      <c r="F23" s="16"/>
      <c r="G23" s="57"/>
    </row>
    <row r="24" spans="3:7">
      <c r="C24" s="50" t="s">
        <v>168</v>
      </c>
      <c r="D24" s="70">
        <f>SUM(Presupuestos!D83:H83)+D7</f>
        <v>193133.02878252603</v>
      </c>
      <c r="E24" s="50" t="s">
        <v>169</v>
      </c>
      <c r="F24" s="16"/>
      <c r="G24" s="51">
        <v>0</v>
      </c>
    </row>
    <row r="25" spans="3:7">
      <c r="C25" s="50" t="s">
        <v>170</v>
      </c>
      <c r="D25" s="70">
        <f>SUM(D24)</f>
        <v>193133.02878252603</v>
      </c>
      <c r="G25" s="57"/>
    </row>
    <row r="26" spans="3:7">
      <c r="C26" s="50"/>
      <c r="D26" s="57"/>
      <c r="E26" s="94" t="s">
        <v>171</v>
      </c>
      <c r="F26" s="16"/>
      <c r="G26" s="51"/>
    </row>
    <row r="27" spans="3:7">
      <c r="C27" s="50"/>
      <c r="D27" s="70"/>
      <c r="E27" t="s">
        <v>172</v>
      </c>
      <c r="G27" s="57">
        <v>0</v>
      </c>
    </row>
    <row r="28" spans="3:7">
      <c r="C28" s="94" t="s">
        <v>173</v>
      </c>
      <c r="D28" s="57"/>
      <c r="E28" s="50" t="s">
        <v>169</v>
      </c>
      <c r="G28" s="57">
        <v>0</v>
      </c>
    </row>
    <row r="29" spans="3:7">
      <c r="C29" s="95" t="s">
        <v>174</v>
      </c>
      <c r="D29" s="96">
        <f>D12</f>
        <v>3690</v>
      </c>
      <c r="G29" s="57"/>
    </row>
    <row r="30" spans="3:7">
      <c r="C30" s="100" t="s">
        <v>181</v>
      </c>
      <c r="D30" s="96">
        <f>D29</f>
        <v>3690</v>
      </c>
      <c r="E30" s="94" t="s">
        <v>176</v>
      </c>
      <c r="F30" s="16"/>
      <c r="G30" s="51"/>
    </row>
    <row r="31" spans="3:7">
      <c r="C31" s="100" t="s">
        <v>175</v>
      </c>
      <c r="D31" s="96">
        <f>D13</f>
        <v>2241</v>
      </c>
      <c r="E31" s="98" t="s">
        <v>66</v>
      </c>
      <c r="G31" s="70">
        <f>G14</f>
        <v>19838.620000000003</v>
      </c>
    </row>
    <row r="32" spans="3:7">
      <c r="C32" s="50" t="s">
        <v>177</v>
      </c>
      <c r="D32" s="51">
        <f>D29-D30+D31</f>
        <v>2241</v>
      </c>
      <c r="E32" s="64" t="s">
        <v>182</v>
      </c>
      <c r="F32" s="16"/>
      <c r="G32" s="70">
        <f>SUM(Presupuestos!C100:G100)</f>
        <v>175535.40878252598</v>
      </c>
    </row>
    <row r="33" spans="3:7">
      <c r="C33" s="50"/>
      <c r="D33" s="51"/>
      <c r="E33" s="50" t="s">
        <v>178</v>
      </c>
      <c r="F33" s="16"/>
      <c r="G33" s="70">
        <f>SUM(G31:G32)</f>
        <v>195374.02878252597</v>
      </c>
    </row>
    <row r="34" spans="3:7">
      <c r="C34" s="101"/>
      <c r="D34" s="51"/>
      <c r="E34" s="50"/>
      <c r="F34" s="16"/>
      <c r="G34" s="46"/>
    </row>
    <row r="35" spans="3:7">
      <c r="C35" s="58" t="s">
        <v>179</v>
      </c>
      <c r="D35" s="17">
        <f>D25+D32</f>
        <v>195374.02878252603</v>
      </c>
      <c r="E35" s="58" t="s">
        <v>180</v>
      </c>
      <c r="F35" s="99"/>
      <c r="G35" s="17">
        <f>G24+G28+G33</f>
        <v>195374.02878252597</v>
      </c>
    </row>
  </sheetData>
  <phoneticPr fontId="4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C2:G28"/>
  <sheetViews>
    <sheetView tabSelected="1" workbookViewId="0">
      <selection activeCell="G15" sqref="G15"/>
    </sheetView>
  </sheetViews>
  <sheetFormatPr baseColWidth="10" defaultRowHeight="12.75"/>
  <cols>
    <col min="3" max="3" width="19.28515625" customWidth="1"/>
    <col min="4" max="4" width="13.5703125" customWidth="1"/>
    <col min="5" max="5" width="16.85546875" customWidth="1"/>
    <col min="6" max="6" width="13.5703125" customWidth="1"/>
    <col min="7" max="7" width="10.7109375" customWidth="1"/>
  </cols>
  <sheetData>
    <row r="2" spans="3:7">
      <c r="C2" s="1"/>
    </row>
    <row r="3" spans="3:7">
      <c r="C3" s="40" t="s">
        <v>145</v>
      </c>
    </row>
    <row r="4" spans="3:7" s="82" customFormat="1" ht="12.75" customHeight="1">
      <c r="C4" s="85" t="s">
        <v>139</v>
      </c>
      <c r="D4" s="20" t="s">
        <v>19</v>
      </c>
      <c r="E4" s="20" t="s">
        <v>137</v>
      </c>
      <c r="F4" s="20" t="s">
        <v>140</v>
      </c>
    </row>
    <row r="5" spans="3:7">
      <c r="C5" s="5" t="s">
        <v>141</v>
      </c>
      <c r="D5" s="4">
        <v>1</v>
      </c>
      <c r="E5" s="4">
        <v>1200</v>
      </c>
      <c r="F5" s="4">
        <f>D5*E5*12</f>
        <v>14400</v>
      </c>
    </row>
    <row r="6" spans="3:7">
      <c r="C6" s="4" t="s">
        <v>132</v>
      </c>
      <c r="D6" s="4">
        <v>1</v>
      </c>
      <c r="E6" s="4">
        <v>750</v>
      </c>
      <c r="F6" s="4">
        <f>D6*E6*12</f>
        <v>9000</v>
      </c>
    </row>
    <row r="7" spans="3:7">
      <c r="C7" s="4" t="s">
        <v>134</v>
      </c>
      <c r="D7" s="4">
        <v>1</v>
      </c>
      <c r="E7" s="4">
        <v>800</v>
      </c>
      <c r="F7" s="4">
        <f>D7*E7*12</f>
        <v>9600</v>
      </c>
    </row>
    <row r="8" spans="3:7">
      <c r="C8" s="4" t="s">
        <v>135</v>
      </c>
      <c r="D8" s="4">
        <v>2</v>
      </c>
      <c r="E8" s="4">
        <v>750</v>
      </c>
      <c r="F8" s="4">
        <f>D8*E8*12</f>
        <v>18000</v>
      </c>
    </row>
    <row r="9" spans="3:7">
      <c r="C9" s="4" t="s">
        <v>133</v>
      </c>
      <c r="D9" s="4">
        <v>1</v>
      </c>
      <c r="E9" s="4">
        <v>650</v>
      </c>
      <c r="F9" s="4">
        <f>D9*E9*12</f>
        <v>7800</v>
      </c>
    </row>
    <row r="10" spans="3:7">
      <c r="C10" s="4" t="s">
        <v>7</v>
      </c>
      <c r="D10" s="4">
        <f>SUM(D5:D9)</f>
        <v>6</v>
      </c>
      <c r="E10" s="4">
        <f>SUM(E5:E9)</f>
        <v>4150</v>
      </c>
      <c r="F10" s="4">
        <f>SUM(F5:F9)</f>
        <v>58800</v>
      </c>
    </row>
    <row r="12" spans="3:7">
      <c r="C12" s="40" t="s">
        <v>144</v>
      </c>
    </row>
    <row r="13" spans="3:7">
      <c r="C13" s="85" t="s">
        <v>136</v>
      </c>
      <c r="D13" s="20" t="s">
        <v>19</v>
      </c>
      <c r="E13" s="21" t="s">
        <v>142</v>
      </c>
      <c r="F13" s="21" t="s">
        <v>143</v>
      </c>
      <c r="G13" s="20" t="s">
        <v>7</v>
      </c>
    </row>
    <row r="14" spans="3:7">
      <c r="C14" s="5" t="s">
        <v>141</v>
      </c>
      <c r="D14" s="4">
        <v>1</v>
      </c>
      <c r="E14" s="4">
        <v>1200</v>
      </c>
      <c r="F14" s="22">
        <f>E14*2</f>
        <v>2400</v>
      </c>
      <c r="G14" s="22">
        <f>(F14+E14)*D14</f>
        <v>3600</v>
      </c>
    </row>
    <row r="15" spans="3:7">
      <c r="C15" s="4" t="s">
        <v>132</v>
      </c>
      <c r="D15" s="4">
        <v>1</v>
      </c>
      <c r="E15" s="4">
        <v>750</v>
      </c>
      <c r="F15" s="22">
        <f>E15*2</f>
        <v>1500</v>
      </c>
      <c r="G15" s="22">
        <f>(F15+E15)*D15</f>
        <v>2250</v>
      </c>
    </row>
    <row r="16" spans="3:7">
      <c r="C16" s="4" t="s">
        <v>134</v>
      </c>
      <c r="D16" s="4">
        <v>1</v>
      </c>
      <c r="E16" s="4">
        <v>800</v>
      </c>
      <c r="F16" s="22">
        <f>E16*2</f>
        <v>1600</v>
      </c>
      <c r="G16" s="22">
        <f>(F16+E16)*D16</f>
        <v>2400</v>
      </c>
    </row>
    <row r="17" spans="3:7">
      <c r="C17" s="4" t="s">
        <v>135</v>
      </c>
      <c r="D17" s="4">
        <v>2</v>
      </c>
      <c r="E17" s="4">
        <v>750</v>
      </c>
      <c r="F17" s="22">
        <f>E17*2</f>
        <v>1500</v>
      </c>
      <c r="G17" s="22">
        <f>(F17+E17)*D17</f>
        <v>4500</v>
      </c>
    </row>
    <row r="18" spans="3:7">
      <c r="C18" s="4" t="s">
        <v>133</v>
      </c>
      <c r="D18" s="4">
        <v>1</v>
      </c>
      <c r="E18" s="4">
        <v>650</v>
      </c>
      <c r="F18" s="22">
        <f>E18*2</f>
        <v>1300</v>
      </c>
      <c r="G18" s="22">
        <f>(F18+E18)*D18</f>
        <v>1950</v>
      </c>
    </row>
    <row r="19" spans="3:7">
      <c r="C19" s="4" t="s">
        <v>7</v>
      </c>
      <c r="D19" s="4"/>
      <c r="E19" s="4">
        <f>SUM(E14:E18)</f>
        <v>4150</v>
      </c>
      <c r="F19" s="22">
        <f>SUM(F14:F18)</f>
        <v>8300</v>
      </c>
      <c r="G19" s="22">
        <f>SUM(G14:G18)</f>
        <v>14700</v>
      </c>
    </row>
    <row r="21" spans="3:7">
      <c r="C21" s="40" t="s">
        <v>150</v>
      </c>
    </row>
    <row r="22" spans="3:7">
      <c r="C22" s="85" t="s">
        <v>136</v>
      </c>
      <c r="D22" s="20" t="s">
        <v>138</v>
      </c>
      <c r="E22" s="20" t="s">
        <v>79</v>
      </c>
      <c r="F22" s="20" t="s">
        <v>7</v>
      </c>
    </row>
    <row r="23" spans="3:7">
      <c r="C23" s="5" t="s">
        <v>141</v>
      </c>
      <c r="D23" s="4">
        <f>F5</f>
        <v>14400</v>
      </c>
      <c r="E23" s="4">
        <f>G14</f>
        <v>3600</v>
      </c>
      <c r="F23" s="4">
        <f>SUM(D23:E23)</f>
        <v>18000</v>
      </c>
    </row>
    <row r="24" spans="3:7">
      <c r="C24" s="4" t="s">
        <v>132</v>
      </c>
      <c r="D24" s="4">
        <f>F6</f>
        <v>9000</v>
      </c>
      <c r="E24" s="4">
        <f>G15</f>
        <v>2250</v>
      </c>
      <c r="F24" s="4">
        <f>SUM(D24:E24)</f>
        <v>11250</v>
      </c>
    </row>
    <row r="25" spans="3:7">
      <c r="C25" s="4" t="s">
        <v>134</v>
      </c>
      <c r="D25" s="4">
        <f>F7</f>
        <v>9600</v>
      </c>
      <c r="E25" s="4">
        <f>G16</f>
        <v>2400</v>
      </c>
      <c r="F25" s="4">
        <f>SUM(D25:E25)</f>
        <v>12000</v>
      </c>
    </row>
    <row r="26" spans="3:7">
      <c r="C26" s="4" t="s">
        <v>135</v>
      </c>
      <c r="D26" s="4">
        <f>F8</f>
        <v>18000</v>
      </c>
      <c r="E26" s="4">
        <f>G17</f>
        <v>4500</v>
      </c>
      <c r="F26" s="4">
        <f>SUM(D26:E26)</f>
        <v>22500</v>
      </c>
    </row>
    <row r="27" spans="3:7">
      <c r="C27" s="4" t="s">
        <v>133</v>
      </c>
      <c r="D27" s="4">
        <f>F9</f>
        <v>7800</v>
      </c>
      <c r="E27" s="4">
        <f>G18</f>
        <v>1950</v>
      </c>
      <c r="F27" s="4">
        <f>SUM(D27:E27)</f>
        <v>9750</v>
      </c>
    </row>
    <row r="28" spans="3:7">
      <c r="C28" s="4" t="s">
        <v>7</v>
      </c>
      <c r="D28" s="4">
        <f>SUM(D23:D27)</f>
        <v>58800</v>
      </c>
      <c r="E28" s="4">
        <f>SUM(E23:E27)</f>
        <v>14700</v>
      </c>
      <c r="F28" s="4">
        <f>SUM(F23:F27)</f>
        <v>73500</v>
      </c>
    </row>
  </sheetData>
  <phoneticPr fontId="4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Inversión</vt:lpstr>
      <vt:lpstr>Punto equilibrio</vt:lpstr>
      <vt:lpstr>Proyección ventas</vt:lpstr>
      <vt:lpstr>Pago de la deuda</vt:lpstr>
      <vt:lpstr>Presupuestos</vt:lpstr>
      <vt:lpstr>Evaluación</vt:lpstr>
      <vt:lpstr>Balance</vt:lpstr>
      <vt:lpstr>Proyeccion egresos personal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ARTURO</cp:lastModifiedBy>
  <dcterms:created xsi:type="dcterms:W3CDTF">1996-11-27T10:00:04Z</dcterms:created>
  <dcterms:modified xsi:type="dcterms:W3CDTF">2015-06-24T01:46:14Z</dcterms:modified>
</cp:coreProperties>
</file>